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05" tabRatio="721" firstSheet="2"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externalReferences>
    <externalReference r:id="rId13"/>
    <externalReference r:id="rId14"/>
  </externalReference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<sst xmlns="http://schemas.openxmlformats.org/spreadsheetml/2006/main" count="611" uniqueCount="464">
  <si>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</si>
  <si>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</si>
  <si>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</si>
  <si>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</si>
  <si>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</si>
  <si>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</si>
  <si>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</si>
  <si>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</si>
  <si>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</si>
  <si>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</si>
  <si>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</si>
  <si>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</si>
  <si>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</si>
  <si>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</si>
  <si>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</si>
  <si>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</si>
  <si>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</si>
  <si>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</si>
  <si>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</si>
  <si>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</si>
  <si>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</si>
  <si>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</si>
  <si>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</si>
  <si>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</si>
  <si>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</si>
  <si>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</si>
  <si>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</si>
  <si>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</si>
  <si>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</si>
  <si>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</si>
  <si>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</si>
  <si>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</si>
  <si>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</si>
  <si>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</si>
  <si>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</si>
  <si>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</si>
  <si>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</si>
  <si>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</si>
  <si>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</si>
  <si>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</si>
  <si>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</si>
  <si>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</si>
  <si>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</si>
  <si>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</si>
  <si>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</si>
  <si>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</si>
  <si>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</si>
  <si>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</si>
  <si>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</si>
  <si>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</si>
  <si>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</si>
  <si>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</si>
  <si>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</si>
  <si>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</si>
  <si>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</si>
  <si>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</si>
  <si>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</si>
  <si>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</si>
  <si>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</si>
  <si>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</si>
  <si>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</si>
  <si>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</si>
  <si>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</si>
  <si>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</si>
  <si>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</si>
  <si>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</si>
  <si>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</si>
  <si>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</si>
  <si>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</si>
  <si>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</si>
  <si>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</si>
  <si>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</si>
  <si>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</si>
  <si>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</si>
  <si>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</si>
  <si>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</si>
  <si>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</si>
  <si>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</si>
  <si>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</si>
  <si>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</si>
  <si>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</si>
  <si>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</si>
  <si>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</si>
  <si>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</si>
  <si>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</si>
  <si>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</si>
  <si>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</si>
  <si>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</si>
  <si>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</si>
  <si>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</si>
  <si>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</si>
  <si>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</si>
  <si>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</si>
  <si>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</si>
  <si>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</si>
  <si>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</si>
  <si>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</si>
  <si>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</si>
  <si>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</si>
  <si>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</si>
  <si>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</si>
  <si>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</si>
  <si>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</si>
  <si>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</si>
  <si>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</si>
  <si>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</si>
  <si>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</si>
  <si>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</si>
  <si>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</si>
  <si>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</si>
  <si>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</si>
  <si>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</si>
  <si>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</si>
  <si>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</si>
  <si>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</si>
  <si>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</si>
  <si>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</si>
  <si>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</si>
  <si>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</si>
  <si>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</si>
  <si>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</si>
  <si>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</si>
  <si>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</si>
  <si>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</si>
  <si>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</si>
  <si>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</si>
  <si>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</si>
  <si>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</si>
  <si>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</si>
  <si>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</si>
  <si>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</si>
  <si>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</si>
  <si>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</si>
  <si>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</si>
  <si>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</si>
  <si>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</si>
  <si>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</si>
  <si>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</si>
  <si>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</si>
  <si>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</si>
  <si>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</si>
  <si>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</si>
  <si>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</si>
  <si>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</si>
  <si>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</si>
  <si>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</si>
  <si>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</si>
  <si>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</si>
  <si>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</si>
  <si>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</si>
  <si>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</si>
  <si>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</si>
  <si>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</si>
  <si>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</si>
  <si>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</si>
  <si>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</si>
  <si>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</si>
  <si>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</si>
  <si>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</si>
  <si>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</si>
  <si>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</si>
  <si>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</si>
  <si>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</si>
  <si>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</si>
  <si>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</si>
  <si>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</si>
  <si>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</si>
  <si>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</si>
  <si>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</si>
  <si>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</si>
  <si>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</si>
  <si>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</si>
  <si>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</si>
  <si>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</si>
  <si>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</si>
  <si>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</si>
  <si>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</si>
  <si>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</si>
  <si>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</si>
  <si>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</si>
  <si>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</si>
  <si>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</si>
  <si>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</si>
  <si>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</si>
  <si>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</si>
  <si>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</si>
  <si>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</si>
  <si>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</si>
  <si>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</si>
  <si>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</si>
  <si>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</si>
  <si>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</si>
  <si>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</si>
  <si>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</si>
  <si>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</si>
  <si>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</si>
  <si>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</si>
  <si>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</si>
  <si>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</si>
  <si>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</si>
  <si>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</si>
  <si>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</si>
  <si>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</si>
  <si>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</si>
  <si>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</si>
  <si>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</si>
  <si>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</si>
  <si>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</si>
  <si>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</si>
  <si>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</si>
  <si>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</si>
  <si>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</si>
  <si>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</si>
  <si>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</si>
  <si>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</si>
  <si>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</si>
  <si>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</si>
  <si>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</si>
  <si>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</si>
  <si>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</si>
  <si>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</si>
  <si>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</si>
  <si>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</si>
  <si>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</si>
  <si>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</si>
  <si>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</si>
  <si>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</si>
  <si>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</si>
  <si>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</si>
  <si>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</si>
  <si>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</si>
  <si>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</si>
  <si>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</si>
  <si>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</si>
  <si>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</si>
  <si>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</si>
  <si>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</si>
  <si>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</si>
  <si>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</si>
  <si>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</si>
  <si>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</si>
  <si>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</si>
  <si>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</si>
  <si>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</si>
  <si>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</si>
  <si>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</si>
  <si>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</si>
  <si>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</si>
  <si>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</si>
  <si>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</si>
  <si>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</si>
  <si>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</si>
  <si>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</si>
  <si>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</si>
  <si>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</si>
  <si>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</si>
  <si>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</si>
  <si>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</si>
  <si>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</si>
  <si>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</si>
  <si>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</si>
  <si>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</si>
  <si>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</si>
  <si>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</si>
  <si>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</si>
  <si>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</si>
  <si>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</si>
  <si>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</si>
  <si>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</si>
  <si>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</si>
  <si>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</si>
  <si>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</si>
  <si>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</si>
  <si>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</si>
  <si>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</si>
  <si>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</si>
  <si>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</si>
  <si>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</si>
  <si>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</si>
  <si>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</si>
  <si>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</si>
  <si>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</si>
  <si>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</si>
  <si>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</si>
  <si>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</si>
  <si>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</si>
  <si>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</si>
  <si>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</si>
  <si>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</si>
  <si>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</si>
  <si>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</si>
  <si>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</si>
  <si>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</si>
  <si>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</si>
  <si>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</si>
  <si>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</si>
  <si>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</si>
  <si>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</si>
  <si>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</si>
  <si>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</si>
  <si>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</si>
  <si>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</si>
  <si>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</si>
  <si>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</si>
  <si>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</si>
  <si>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</si>
  <si>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</si>
  <si>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</si>
  <si>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</si>
  <si>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</si>
  <si>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</si>
  <si>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</si>
  <si>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</si>
  <si>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</si>
  <si>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</si>
  <si>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</si>
  <si>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</si>
  <si>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</si>
  <si>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</si>
  <si>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</si>
  <si>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</si>
  <si>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</si>
  <si>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</si>
  <si>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</si>
  <si>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</si>
  <si>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</si>
  <si>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</si>
  <si>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</si>
  <si>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</si>
  <si>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</si>
  <si>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</si>
  <si>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</si>
  <si>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</si>
  <si>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</si>
  <si>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</si>
  <si>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</si>
  <si>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</si>
  <si>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</si>
  <si>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</si>
  <si>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</si>
  <si>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</si>
  <si>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</si>
  <si>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</si>
  <si>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</si>
  <si>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</si>
  <si>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</si>
  <si>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</si>
  <si>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</si>
  <si>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</si>
  <si>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</si>
  <si>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</si>
  <si>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</si>
  <si>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</si>
  <si>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</si>
  <si>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</si>
  <si>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</si>
  <si>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</si>
  <si>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</si>
  <si>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</si>
  <si>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</si>
  <si>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</si>
  <si>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</si>
  <si>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</si>
  <si>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</si>
  <si>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</si>
  <si>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</si>
  <si>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</si>
  <si>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</si>
  <si>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</si>
  <si>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</si>
  <si>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</si>
  <si>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</si>
  <si>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</si>
  <si>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</si>
  <si>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</si>
  <si>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</si>
  <si>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</si>
  <si>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</si>
  <si>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</si>
  <si>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</si>
  <si>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</si>
  <si>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</si>
  <si>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</si>
  <si>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</si>
  <si>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</si>
  <si>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</si>
  <si>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</si>
  <si>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</si>
  <si>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</si>
  <si>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</si>
  <si>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</si>
  <si>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</si>
  <si>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</si>
  <si>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</si>
  <si>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</si>
  <si>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</si>
  <si>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</si>
  <si>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</si>
  <si>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</si>
  <si>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</si>
  <si>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</si>
  <si>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</si>
  <si>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</si>
  <si>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</si>
  <si>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</si>
  <si>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</si>
  <si>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</si>
  <si>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</si>
  <si>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</si>
  <si>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</si>
  <si>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</si>
  <si>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</si>
  <si>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</si>
  <si>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</si>
  <si>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</si>
  <si>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Jan-Mar 2015</t>
  </si>
  <si>
    <t>Apr-Jun 2015</t>
  </si>
  <si>
    <t>Jul-Sep 2015</t>
  </si>
  <si>
    <t>Oct-Dec 2015</t>
  </si>
  <si>
    <t>Jan-Mar 2016</t>
  </si>
  <si>
    <t>Apr-Jun 2016</t>
  </si>
  <si>
    <t>Jun-Sep 2016</t>
  </si>
  <si>
    <t>Oct-Dec 2016</t>
  </si>
  <si>
    <t>Jan-Mar 2017</t>
  </si>
  <si>
    <t>Apr-Jun 2017</t>
  </si>
  <si>
    <t>Jul-Sep 2017</t>
  </si>
  <si>
    <t>Oct-Dec 2017</t>
  </si>
  <si>
    <t>Ministry of Health / Ghana Health Services</t>
  </si>
  <si>
    <t>Accelerating access to prevention and treatment of TB towards attaining the MDGs</t>
  </si>
  <si>
    <t>Ped: (ISONIAZID+RIFAMPICIN+PYRAZINAMIDE) +(ISONIAZID+RIFAMPICIN)Paediatrics)</t>
  </si>
  <si>
    <t>Cat 1: (ISONIAZID+RIFAMPICI+PYRAZINAMIDE+ETHAMBUTOL)  + (ISONIAZID + RIFAMPICIN) Cat 1</t>
  </si>
  <si>
    <t>Cat 2: (ISONIAZID+RIFAMPICIN+PYRAZINAMIDE+ETHAMBUTOL+ STREPTOMYCIN) + (ISONIAZID+RIFAMPICIN+ETHAMBUTOL) Cat 2</t>
  </si>
  <si>
    <t>NA</t>
  </si>
  <si>
    <t>DOTS-1a: Number of notified cases of all forms of TB - bacteriologically confirmed plus clinically diagnosed, new and relapses</t>
  </si>
  <si>
    <t>DOTS-1b: Number of notified cases of bacteriologically confirmed TB, new and relapses</t>
  </si>
  <si>
    <t>DOTS-2a: Percentage of TB cases, all forms, bacteriologically confirmed plus clinically diagnosed, successfully treated (cured plus treatment completed) among all new TB cases registered for treatment during a specified period</t>
  </si>
  <si>
    <t>DOTS-3: Percentage of laboratories showing adequate performance in external quality assurance for smear microscopy among the total number of laboratories that undertake smear microscopy during the reporting period</t>
  </si>
  <si>
    <t>DOTS-4: Percentage of reporting units reporting no stock-out of first-line anti-TB drugs on the last day of the quarter</t>
  </si>
  <si>
    <t>DOTS-7a: Percentage of notified TB cases, all forms, contributed by non-NTP providers - private/non-governmental facilities</t>
  </si>
  <si>
    <t>MDR TB-1: Percentage of previously treated TB patients receiving DST (bacteriologically positive cases only)</t>
  </si>
  <si>
    <t>MDR TB-2: Number of bacteriologically confirmed, drug resistant TB cases (RR-TB and/or MDR-TB) notified</t>
  </si>
  <si>
    <t>MDR TB-3: Number of cases with drug resistant TB (RR-TB and/or MDR-TB) that began second-line treatment</t>
  </si>
  <si>
    <t>TB/HIV-1: Percentage of TB patients who had an HIV test result recorded in the TB register</t>
  </si>
  <si>
    <t>TB/HIV-2: Percentage of HIV-positive registered TB patients given anti-retroviral therapy during TB treatment</t>
  </si>
  <si>
    <t>GHA-T-MOH</t>
  </si>
  <si>
    <t>Mark Saafeld</t>
  </si>
  <si>
    <t>Increasingly, prescribers are following the Drug Resistant diagnosis alogorithm.  Sputum trasnport has been streamlined and some bottleneck removed.</t>
  </si>
  <si>
    <t>Effective stock management and the availability of commodities ensured no stock-out of TB commodities.</t>
  </si>
  <si>
    <t>Fewer than expected drug resistant TB cases were diagnosed.  TB Drug resistant survey is being conducted to establish TB drug resisnatnce prevalence in Ghana.  This is 9% prevalence based on the limited data.</t>
  </si>
  <si>
    <t>1. TB Care and Prevention</t>
  </si>
  <si>
    <t>2. TB/HIV</t>
  </si>
  <si>
    <t>3. MDR-TB</t>
  </si>
  <si>
    <t>4. HSS-Health Information systems and M&amp;E</t>
  </si>
  <si>
    <t>5. HSS- Financial Management</t>
  </si>
  <si>
    <t>6. Programme Management</t>
  </si>
  <si>
    <t>7. Other</t>
  </si>
  <si>
    <t>69% of the target cases were tested for HIV, but, represent  80.3% of TB cases reported.</t>
  </si>
  <si>
    <t>Orientation for health workers to systematically screen for TB at OPDs is completed and screening  tools have been deployed.  However, Gene Xperts to aid diagnosis have not been procured yet.</t>
  </si>
  <si>
    <t xml:space="preserve">The process for procurement of GeneXpert has started and delivery of 90 Xperts which was expected in December 2015 has delayed. They will be deployed as soon as they are delivered after training of biomedical scientist, which is expected to be done on-site. </t>
  </si>
  <si>
    <t>EQA was intensified after indicators were redefined to conform with the revised WHO definitions</t>
  </si>
  <si>
    <t>Reports from the Civil Society Organizations are due at the close of February 2016 and will be part of the next semester report</t>
  </si>
  <si>
    <t xml:space="preserve">This also includes patients diagnosed in December 2014 who were not enrolled due to pre-enrollment requirements which includes baseline laboratory investigations. </t>
  </si>
  <si>
    <t>The achieveds is 2 percentage points short of the target 87%.  Death rate was 10.3%</t>
  </si>
  <si>
    <t>Kwami Afutu/Kulevome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</si>
</sst>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quot;Q&quot;#,##0_);[Red]\(&quot;Q&quot;#,##0\)"/>
    <numFmt numFmtId="187" formatCode="_(&quot;Q&quot;* #,##0_);_(&quot;Q&quot;* \(#,##0\);_(&quot;Q&quot;* &quot;-&quot;_);_(@_)"/>
    <numFmt numFmtId="188" formatCode="_(&quot;Q&quot;* #,##0.00_);_(&quot;Q&quot;* \(#,##0.00\);_(&quot;Q&quot;* &quot;-&quot;??_);_(@_)"/>
    <numFmt numFmtId="189" formatCode="_(* #,##0_);_(* \(#,##0\);_(* &quot;-&quot;??_);_(@_)"/>
    <numFmt numFmtId="190" formatCode=";;;"/>
    <numFmt numFmtId="191" formatCode="0.0"/>
    <numFmt numFmtId="192" formatCode=";;;&quot;Financial Variance in %&quot;"/>
    <numFmt numFmtId="193" formatCode=";;;&quot;Revenue in $&quot;"/>
    <numFmt numFmtId="194" formatCode="_([$€]* #,##0.00_);_([$€]* \(#,##0.00\);_([$€]* &quot;-&quot;??_);_(@_)"/>
    <numFmt numFmtId="195" formatCode="[$$-409]#,##0"/>
    <numFmt numFmtId="196" formatCode="[$-409]d/mmm/yyyy;@"/>
    <numFmt numFmtId="197" formatCode="[$$-409]#,##0.00"/>
    <numFmt numFmtId="198" formatCode="[$$-409]#,##0_);\([$$-409]#,##0\)"/>
    <numFmt numFmtId="199" formatCode="[$$-409]#,##0.0"/>
    <numFmt numFmtId="200" formatCode="&quot;Yes&quot;;&quot;Yes&quot;;&quot;No&quot;"/>
    <numFmt numFmtId="201" formatCode="&quot;True&quot;;&quot;True&quot;;&quot;False&quot;"/>
    <numFmt numFmtId="202" formatCode="&quot;On&quot;;&quot;On&quot;;&quot;Off&quot;"/>
    <numFmt numFmtId="203" formatCode="[$€-2]\ #,##0.00_);[Red]\([$€-2]\ #,##0.00\)"/>
    <numFmt numFmtId="204" formatCode="[$-409]dddd\,\ mmmm\ d\,\ yyyy"/>
    <numFmt numFmtId="205" formatCode="[$-409]h:mm:ss\ AM/PM"/>
    <numFmt numFmtId="206" formatCode="#,##0.0"/>
    <numFmt numFmtId="207" formatCode="#,##0.000"/>
  </numFmts>
  <fonts count="142">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9"/>
      <color indexed="8"/>
      <name val="Calibri"/>
      <family val="2"/>
    </font>
    <font>
      <sz val="12"/>
      <color indexed="8"/>
      <name val="Arial"/>
      <family val="0"/>
    </font>
    <font>
      <sz val="18"/>
      <color indexed="8"/>
      <name val="Arial"/>
      <family val="0"/>
    </font>
    <font>
      <sz val="5.75"/>
      <color indexed="8"/>
      <name val="Arial"/>
      <family val="0"/>
    </font>
    <font>
      <sz val="6"/>
      <color indexed="8"/>
      <name val="Arial"/>
      <family val="0"/>
    </font>
    <font>
      <b/>
      <sz val="5.75"/>
      <color indexed="8"/>
      <name val="Arial"/>
      <family val="0"/>
    </font>
    <font>
      <sz val="4.4"/>
      <color indexed="8"/>
      <name val="Arial"/>
      <family val="0"/>
    </font>
    <font>
      <sz val="6.2"/>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5.7"/>
      <color indexed="8"/>
      <name val="Calibri"/>
      <family val="0"/>
    </font>
    <font>
      <sz val="5.5"/>
      <color indexed="8"/>
      <name val="Arial"/>
      <family val="0"/>
    </font>
    <font>
      <b/>
      <sz val="8"/>
      <color indexed="8"/>
      <name val="Arial"/>
      <family val="0"/>
    </font>
    <font>
      <sz val="6.75"/>
      <color indexed="8"/>
      <name val="Arial"/>
      <family val="0"/>
    </font>
    <font>
      <sz val="4.6"/>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mediumGray">
        <fgColor indexed="9"/>
        <bgColor indexed="43"/>
      </patternFill>
    </fill>
    <fill>
      <patternFill patternType="solid">
        <fgColor indexed="13"/>
        <bgColor indexed="64"/>
      </patternFill>
    </fill>
  </fills>
  <borders count="2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otted"/>
      <top style="dotted"/>
      <bottom style="dotted"/>
    </border>
    <border>
      <left style="dotted"/>
      <right style="dotted"/>
      <top style="dotted"/>
      <bottom style="dotted"/>
    </border>
    <border>
      <left>
        <color indexed="63"/>
      </left>
      <right style="thin"/>
      <top style="thin"/>
      <bottom style="medium">
        <color indexed="51"/>
      </bottom>
    </border>
    <border>
      <left style="medium">
        <color indexed="51"/>
      </left>
      <right style="thin"/>
      <top style="thin"/>
      <bottom style="thin"/>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medium">
        <color indexed="51"/>
      </right>
      <top style="thin"/>
      <bottom>
        <color indexed="63"/>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thin"/>
      <right style="dotted"/>
      <top style="thin"/>
      <bottom style="dotted"/>
    </border>
    <border>
      <left style="dotted"/>
      <right style="dotted"/>
      <top style="thin"/>
      <bottom style="dotted"/>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thin"/>
      <right style="dotted"/>
      <top/>
      <bottom style="dotted"/>
    </border>
    <border>
      <left style="dotted"/>
      <right style="dotted"/>
      <top/>
      <bottom style="dotted"/>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94"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9"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0" fillId="0" borderId="11" applyNumberFormat="0" applyFill="0" applyAlignment="0" applyProtection="0"/>
    <xf numFmtId="0" fontId="77" fillId="0" borderId="0" applyNumberFormat="0" applyFill="0" applyBorder="0" applyAlignment="0" applyProtection="0"/>
  </cellStyleXfs>
  <cellXfs count="902">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89"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34" applyFill="1" applyBorder="1" applyAlignment="1" applyProtection="1">
      <alignment vertical="center"/>
      <protection locked="0"/>
    </xf>
    <xf numFmtId="186"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43" fontId="42" fillId="0" borderId="0" xfId="134"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8"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4" applyFont="1" applyBorder="1" applyAlignment="1" applyProtection="1">
      <alignment/>
      <protection/>
    </xf>
    <xf numFmtId="43" fontId="0" fillId="0" borderId="16" xfId="134" applyFill="1" applyBorder="1" applyAlignment="1" applyProtection="1">
      <alignment vertical="center"/>
      <protection/>
    </xf>
    <xf numFmtId="43" fontId="1" fillId="0" borderId="16" xfId="134" applyFont="1" applyFill="1" applyBorder="1" applyAlignment="1" applyProtection="1">
      <alignment vertical="center"/>
      <protection/>
    </xf>
    <xf numFmtId="43" fontId="34" fillId="0" borderId="0" xfId="134" applyFont="1" applyBorder="1" applyAlignment="1" applyProtection="1">
      <alignment/>
      <protection/>
    </xf>
    <xf numFmtId="43" fontId="0" fillId="0" borderId="0" xfId="134" applyFill="1" applyBorder="1" applyAlignment="1" applyProtection="1">
      <alignment vertical="center"/>
      <protection/>
    </xf>
    <xf numFmtId="43" fontId="1" fillId="0" borderId="0" xfId="13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89"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4" applyFont="1" applyBorder="1" applyAlignment="1" applyProtection="1">
      <alignment/>
      <protection/>
    </xf>
    <xf numFmtId="43" fontId="42" fillId="0" borderId="22" xfId="134" applyFont="1" applyFill="1" applyBorder="1" applyAlignment="1" applyProtection="1">
      <alignment vertical="center"/>
      <protection/>
    </xf>
    <xf numFmtId="43" fontId="42" fillId="0" borderId="22" xfId="134" applyFont="1" applyFill="1" applyBorder="1" applyAlignment="1" applyProtection="1">
      <alignment horizontal="center" vertical="center"/>
      <protection/>
    </xf>
    <xf numFmtId="43" fontId="42" fillId="0" borderId="0" xfId="134" applyFont="1" applyFill="1" applyBorder="1" applyAlignment="1" applyProtection="1">
      <alignment vertical="center"/>
      <protection/>
    </xf>
    <xf numFmtId="43" fontId="41" fillId="0" borderId="0" xfId="134" applyFont="1" applyBorder="1" applyAlignment="1" applyProtection="1">
      <alignment/>
      <protection/>
    </xf>
    <xf numFmtId="43" fontId="43" fillId="0" borderId="0" xfId="13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34" applyFont="1" applyFill="1" applyBorder="1" applyAlignment="1" applyProtection="1">
      <alignment/>
      <protection/>
    </xf>
    <xf numFmtId="43" fontId="42" fillId="0" borderId="30" xfId="13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9"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9"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0"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2"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1"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189" fontId="9" fillId="0" borderId="0" xfId="64" applyNumberFormat="1" applyFont="1" applyFill="1" applyBorder="1" applyAlignment="1" applyProtection="1">
      <alignment/>
      <protection locked="0"/>
    </xf>
    <xf numFmtId="189"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186" fontId="18" fillId="2" borderId="0" xfId="0" applyNumberFormat="1" applyFont="1" applyFill="1" applyAlignment="1">
      <alignment/>
    </xf>
    <xf numFmtId="189" fontId="18" fillId="2" borderId="0" xfId="0" applyNumberFormat="1" applyFont="1" applyFill="1" applyAlignment="1">
      <alignment/>
    </xf>
    <xf numFmtId="3" fontId="18" fillId="2" borderId="0" xfId="0" applyNumberFormat="1" applyFont="1" applyFill="1" applyAlignment="1" applyProtection="1">
      <alignment/>
      <protection/>
    </xf>
    <xf numFmtId="186"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5" xfId="128"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7"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43" fontId="92" fillId="0" borderId="30" xfId="134" applyFont="1" applyFill="1" applyBorder="1" applyAlignment="1" applyProtection="1">
      <alignment/>
      <protection/>
    </xf>
    <xf numFmtId="43" fontId="12" fillId="0" borderId="30" xfId="13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43" fontId="94" fillId="0" borderId="30" xfId="134"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89"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43"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43" fontId="98" fillId="0" borderId="16" xfId="13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43"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8"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43" fontId="106" fillId="0" borderId="22" xfId="13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5" xfId="128"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3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8" applyNumberFormat="1" applyFont="1" applyFill="1" applyBorder="1" applyAlignment="1" applyProtection="1">
      <alignment horizontal="center" vertical="center"/>
      <protection/>
    </xf>
    <xf numFmtId="43" fontId="27" fillId="13" borderId="45" xfId="128" applyFont="1" applyFill="1" applyBorder="1" applyAlignment="1" applyProtection="1">
      <alignment horizontal="center" vertical="center"/>
      <protection/>
    </xf>
    <xf numFmtId="15" fontId="27" fillId="13" borderId="45" xfId="128" applyNumberFormat="1" applyFont="1" applyFill="1" applyBorder="1" applyAlignment="1" applyProtection="1">
      <alignment horizontal="center" vertical="center"/>
      <protection/>
    </xf>
    <xf numFmtId="196" fontId="27" fillId="13" borderId="45" xfId="128" applyNumberFormat="1" applyFont="1" applyFill="1" applyBorder="1" applyAlignment="1" applyProtection="1">
      <alignment horizontal="center"/>
      <protection/>
    </xf>
    <xf numFmtId="3" fontId="27" fillId="13" borderId="45" xfId="128" applyNumberFormat="1" applyFont="1" applyFill="1" applyBorder="1" applyAlignment="1" applyProtection="1">
      <alignment horizontal="center"/>
      <protection/>
    </xf>
    <xf numFmtId="43" fontId="27" fillId="13"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43"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195" fontId="24" fillId="2" borderId="0" xfId="0" applyNumberFormat="1" applyFont="1" applyFill="1" applyAlignment="1">
      <alignment/>
    </xf>
    <xf numFmtId="195"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3" borderId="12" xfId="0" applyNumberFormat="1" applyFill="1" applyBorder="1" applyAlignment="1" applyProtection="1">
      <alignment horizontal="center"/>
      <protection locked="0"/>
    </xf>
    <xf numFmtId="1" fontId="0" fillId="3" borderId="60"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 fontId="0" fillId="3" borderId="73" xfId="0" applyNumberFormat="1" applyFill="1" applyBorder="1" applyAlignment="1" applyProtection="1">
      <alignment horizontal="center"/>
      <protection locked="0"/>
    </xf>
    <xf numFmtId="186" fontId="36" fillId="10" borderId="74" xfId="0" applyNumberFormat="1" applyFont="1" applyFill="1" applyBorder="1" applyAlignment="1" applyProtection="1">
      <alignment horizontal="center"/>
      <protection locked="0"/>
    </xf>
    <xf numFmtId="186" fontId="36" fillId="10" borderId="75" xfId="0" applyNumberFormat="1" applyFont="1" applyFill="1" applyBorder="1" applyAlignment="1" applyProtection="1">
      <alignment horizontal="center"/>
      <protection locked="0"/>
    </xf>
    <xf numFmtId="186" fontId="36" fillId="10" borderId="76" xfId="0" applyNumberFormat="1" applyFont="1" applyFill="1" applyBorder="1" applyAlignment="1" applyProtection="1">
      <alignment horizontal="center"/>
      <protection locked="0"/>
    </xf>
    <xf numFmtId="186" fontId="36" fillId="10" borderId="77" xfId="0" applyNumberFormat="1" applyFont="1" applyFill="1" applyBorder="1" applyAlignment="1" applyProtection="1">
      <alignment horizontal="center"/>
      <protection locked="0"/>
    </xf>
    <xf numFmtId="186"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5" xfId="128" applyFont="1" applyBorder="1" applyAlignment="1" applyProtection="1">
      <alignment horizontal="right"/>
      <protection/>
    </xf>
    <xf numFmtId="43" fontId="38" fillId="0" borderId="0" xfId="102" applyFont="1" applyFill="1" applyBorder="1" applyProtection="1">
      <alignment/>
      <protection/>
    </xf>
    <xf numFmtId="3" fontId="31" fillId="3" borderId="74" xfId="0" applyNumberFormat="1" applyFont="1" applyFill="1" applyBorder="1" applyAlignment="1" applyProtection="1">
      <alignment/>
      <protection locked="0"/>
    </xf>
    <xf numFmtId="3" fontId="31" fillId="3"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9" fillId="0" borderId="81" xfId="64" applyNumberFormat="1" applyFont="1" applyFill="1" applyBorder="1" applyAlignment="1" applyProtection="1">
      <alignment/>
      <protection/>
    </xf>
    <xf numFmtId="3" fontId="24" fillId="3" borderId="82" xfId="64" applyNumberFormat="1" applyFont="1" applyFill="1" applyBorder="1" applyAlignment="1" applyProtection="1">
      <alignment/>
      <protection locked="0"/>
    </xf>
    <xf numFmtId="3" fontId="9" fillId="0" borderId="83" xfId="64" applyNumberFormat="1" applyFont="1" applyFill="1" applyBorder="1" applyAlignment="1" applyProtection="1">
      <alignment/>
      <protection/>
    </xf>
    <xf numFmtId="186" fontId="17" fillId="10" borderId="84" xfId="0" applyNumberFormat="1" applyFont="1" applyFill="1" applyBorder="1" applyAlignment="1" applyProtection="1">
      <alignment horizontal="center"/>
      <protection locked="0"/>
    </xf>
    <xf numFmtId="186" fontId="17" fillId="10" borderId="85"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6" xfId="64" applyNumberFormat="1" applyFont="1" applyFill="1" applyBorder="1" applyAlignment="1" applyProtection="1">
      <alignment/>
      <protection locked="0"/>
    </xf>
    <xf numFmtId="3" fontId="1" fillId="3" borderId="86" xfId="64"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49" fontId="29" fillId="0" borderId="90" xfId="0" applyNumberFormat="1" applyFont="1" applyFill="1" applyBorder="1" applyAlignment="1" applyProtection="1">
      <alignment wrapText="1"/>
      <protection locked="0"/>
    </xf>
    <xf numFmtId="3" fontId="1" fillId="3" borderId="91" xfId="64" applyNumberFormat="1" applyFont="1" applyFill="1" applyBorder="1" applyAlignment="1" applyProtection="1">
      <alignment/>
      <protection locked="0"/>
    </xf>
    <xf numFmtId="49" fontId="29" fillId="0" borderId="90" xfId="0" applyNumberFormat="1" applyFont="1" applyFill="1" applyBorder="1" applyAlignment="1" applyProtection="1">
      <alignment/>
      <protection locked="0"/>
    </xf>
    <xf numFmtId="0" fontId="29" fillId="0" borderId="90"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43" fontId="0" fillId="3" borderId="95" xfId="134"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43" fontId="42" fillId="13" borderId="97" xfId="134" applyFont="1" applyFill="1" applyBorder="1" applyAlignment="1" applyProtection="1">
      <alignment horizontal="center" vertical="center"/>
      <protection/>
    </xf>
    <xf numFmtId="43" fontId="42" fillId="0" borderId="98" xfId="134"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91" fontId="0" fillId="0" borderId="12" xfId="0" applyNumberFormat="1" applyFill="1" applyBorder="1" applyAlignment="1" applyProtection="1">
      <alignment horizontal="center"/>
      <protection/>
    </xf>
    <xf numFmtId="191" fontId="18" fillId="29" borderId="102" xfId="0" applyNumberFormat="1" applyFont="1" applyFill="1" applyBorder="1" applyAlignment="1" applyProtection="1">
      <alignment horizontal="center"/>
      <protection/>
    </xf>
    <xf numFmtId="191"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86" fontId="17" fillId="10" borderId="113" xfId="0" applyNumberFormat="1" applyFont="1" applyFill="1" applyBorder="1" applyAlignment="1" applyProtection="1">
      <alignment horizontal="center"/>
      <protection locked="0"/>
    </xf>
    <xf numFmtId="186" fontId="17" fillId="10" borderId="117" xfId="0" applyNumberFormat="1" applyFont="1" applyFill="1" applyBorder="1" applyAlignment="1" applyProtection="1">
      <alignment horizontal="center"/>
      <protection locked="0"/>
    </xf>
    <xf numFmtId="191" fontId="0" fillId="2" borderId="12" xfId="0" applyNumberFormat="1" applyFill="1" applyBorder="1" applyAlignment="1" applyProtection="1">
      <alignment horizontal="center"/>
      <protection/>
    </xf>
    <xf numFmtId="191" fontId="0" fillId="0" borderId="12" xfId="0" applyNumberFormat="1" applyBorder="1" applyAlignment="1" applyProtection="1">
      <alignment horizontal="center"/>
      <protection/>
    </xf>
    <xf numFmtId="191" fontId="0" fillId="2" borderId="71" xfId="0" applyNumberFormat="1" applyFill="1" applyBorder="1" applyAlignment="1" applyProtection="1">
      <alignment horizontal="center"/>
      <protection/>
    </xf>
    <xf numFmtId="191"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91"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91" fontId="0" fillId="0" borderId="61" xfId="0" applyNumberFormat="1" applyFill="1" applyBorder="1" applyAlignment="1" applyProtection="1">
      <alignment/>
      <protection/>
    </xf>
    <xf numFmtId="191"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20"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0" fontId="0" fillId="0" borderId="0" xfId="0" applyFill="1" applyAlignment="1" applyProtection="1">
      <alignment/>
      <protection/>
    </xf>
    <xf numFmtId="49" fontId="29" fillId="0" borderId="90" xfId="0" applyNumberFormat="1" applyFont="1" applyFill="1" applyBorder="1" applyAlignment="1" applyProtection="1">
      <alignment vertical="top" wrapText="1"/>
      <protection locked="0"/>
    </xf>
    <xf numFmtId="49" fontId="117" fillId="13" borderId="12" xfId="0" applyNumberFormat="1" applyFont="1" applyFill="1" applyBorder="1" applyAlignment="1" applyProtection="1">
      <alignment/>
      <protection locked="0"/>
    </xf>
    <xf numFmtId="189" fontId="31" fillId="3" borderId="75" xfId="0" applyNumberFormat="1" applyFont="1" applyFill="1" applyBorder="1" applyAlignment="1" applyProtection="1">
      <alignment/>
      <protection locked="0"/>
    </xf>
    <xf numFmtId="43" fontId="31" fillId="3" borderId="75" xfId="64" applyFont="1" applyFill="1" applyBorder="1" applyAlignment="1" applyProtection="1">
      <alignment/>
      <protection locked="0"/>
    </xf>
    <xf numFmtId="189" fontId="31" fillId="3" borderId="121" xfId="0" applyNumberFormat="1" applyFont="1" applyFill="1" applyBorder="1" applyAlignment="1" applyProtection="1">
      <alignment/>
      <protection locked="0"/>
    </xf>
    <xf numFmtId="189" fontId="31" fillId="3" borderId="80" xfId="0" applyNumberFormat="1" applyFont="1" applyFill="1" applyBorder="1" applyAlignment="1" applyProtection="1">
      <alignment/>
      <protection locked="0"/>
    </xf>
    <xf numFmtId="189" fontId="31" fillId="3" borderId="122" xfId="0" applyNumberFormat="1" applyFont="1" applyFill="1" applyBorder="1" applyAlignment="1" applyProtection="1">
      <alignment/>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9" fontId="2" fillId="12" borderId="12" xfId="110" applyFont="1" applyFill="1" applyBorder="1" applyAlignment="1" applyProtection="1">
      <alignment vertical="center"/>
      <protection locked="0"/>
    </xf>
    <xf numFmtId="9" fontId="2" fillId="28" borderId="12" xfId="110" applyFont="1" applyFill="1" applyBorder="1" applyAlignment="1" applyProtection="1">
      <alignment vertical="center"/>
      <protection locked="0"/>
    </xf>
    <xf numFmtId="9" fontId="2" fillId="28" borderId="101" xfId="110" applyFont="1" applyFill="1" applyBorder="1" applyAlignment="1" applyProtection="1">
      <alignment horizontal="right" vertical="center"/>
      <protection locked="0"/>
    </xf>
    <xf numFmtId="43" fontId="20" fillId="34"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43" fontId="20" fillId="26" borderId="0" xfId="98" applyFont="1" applyFill="1" applyAlignment="1" applyProtection="1">
      <alignment horizontal="center" vertical="center"/>
      <protection/>
    </xf>
    <xf numFmtId="0" fontId="87" fillId="0" borderId="0" xfId="0" applyFont="1" applyAlignment="1">
      <alignment horizontal="center"/>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23" xfId="0" applyBorder="1" applyAlignment="1">
      <alignment horizontal="center"/>
    </xf>
    <xf numFmtId="0" fontId="0" fillId="0" borderId="123"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4" xfId="0" applyFont="1" applyBorder="1" applyAlignment="1">
      <alignment horizontal="left" vertical="center" wrapText="1"/>
    </xf>
    <xf numFmtId="0" fontId="66" fillId="0" borderId="123" xfId="0" applyFont="1" applyBorder="1" applyAlignment="1">
      <alignment horizontal="left" vertical="center" wrapText="1"/>
    </xf>
    <xf numFmtId="0" fontId="66" fillId="0" borderId="125"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124" xfId="0" applyFont="1" applyBorder="1" applyAlignment="1">
      <alignment horizontal="justify" wrapText="1"/>
    </xf>
    <xf numFmtId="0" fontId="66" fillId="0" borderId="123" xfId="0" applyFont="1" applyBorder="1" applyAlignment="1">
      <alignment horizontal="justify" wrapText="1"/>
    </xf>
    <xf numFmtId="0" fontId="66" fillId="0" borderId="125"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24" xfId="0" applyNumberFormat="1" applyFont="1" applyBorder="1" applyAlignment="1">
      <alignment horizontal="left" vertical="center" wrapText="1"/>
    </xf>
    <xf numFmtId="0" fontId="89" fillId="0" borderId="123" xfId="0" applyFont="1" applyBorder="1" applyAlignment="1">
      <alignment horizontal="left" vertical="center" wrapText="1"/>
    </xf>
    <xf numFmtId="0" fontId="89" fillId="0" borderId="125"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0" fillId="33" borderId="126" xfId="0" applyNumberFormat="1" applyFont="1" applyFill="1" applyBorder="1" applyAlignment="1" applyProtection="1">
      <alignment horizontal="left" vertical="center" wrapText="1"/>
      <protection locked="0"/>
    </xf>
    <xf numFmtId="0" fontId="0" fillId="33" borderId="127" xfId="0" applyNumberFormat="1" applyFont="1" applyFill="1" applyBorder="1" applyAlignment="1" applyProtection="1">
      <alignment horizontal="left" vertical="center" wrapText="1"/>
      <protection locked="0"/>
    </xf>
    <xf numFmtId="0" fontId="2" fillId="0" borderId="49" xfId="0" applyFont="1" applyFill="1" applyBorder="1" applyAlignment="1" applyProtection="1">
      <alignment horizontal="center" vertical="center" wrapText="1"/>
      <protection/>
    </xf>
    <xf numFmtId="0" fontId="2" fillId="0" borderId="128" xfId="0" applyFont="1" applyFill="1" applyBorder="1" applyAlignment="1" applyProtection="1">
      <alignment horizontal="center" vertical="center" wrapText="1"/>
      <protection/>
    </xf>
    <xf numFmtId="49" fontId="2" fillId="35" borderId="129"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36" borderId="130" xfId="0" applyNumberFormat="1" applyFont="1" applyFill="1" applyBorder="1" applyAlignment="1" applyProtection="1">
      <alignment horizontal="center" vertical="center" wrapText="1"/>
      <protection locked="0"/>
    </xf>
    <xf numFmtId="0" fontId="2" fillId="36" borderId="131"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8" xfId="0" applyNumberFormat="1" applyFont="1" applyFill="1" applyBorder="1" applyAlignment="1" applyProtection="1">
      <alignment horizontal="center" vertical="center" wrapText="1"/>
      <protection locked="0"/>
    </xf>
    <xf numFmtId="0" fontId="2" fillId="0" borderId="130" xfId="0" applyFont="1" applyFill="1" applyBorder="1" applyAlignment="1" applyProtection="1">
      <alignment horizontal="center" vertical="center" wrapText="1"/>
      <protection/>
    </xf>
    <xf numFmtId="9" fontId="37" fillId="0" borderId="132" xfId="110" applyFont="1" applyFill="1" applyBorder="1" applyAlignment="1" applyProtection="1">
      <alignment horizontal="center" vertical="center"/>
      <protection/>
    </xf>
    <xf numFmtId="9" fontId="37" fillId="0" borderId="133" xfId="110" applyFont="1" applyFill="1" applyBorder="1" applyAlignment="1" applyProtection="1">
      <alignment horizontal="center" vertical="center"/>
      <protection/>
    </xf>
    <xf numFmtId="9" fontId="37" fillId="0" borderId="134" xfId="110" applyFont="1" applyFill="1" applyBorder="1" applyAlignment="1" applyProtection="1">
      <alignment horizontal="center" vertical="center"/>
      <protection/>
    </xf>
    <xf numFmtId="49" fontId="2" fillId="35" borderId="135" xfId="0" applyNumberFormat="1" applyFont="1" applyFill="1" applyBorder="1" applyAlignment="1" applyProtection="1">
      <alignment horizontal="center" vertical="center" wrapText="1"/>
      <protection locked="0"/>
    </xf>
    <xf numFmtId="49" fontId="2" fillId="35" borderId="114" xfId="0" applyNumberFormat="1" applyFont="1" applyFill="1" applyBorder="1" applyAlignment="1" applyProtection="1">
      <alignment horizontal="center" vertical="center" wrapText="1"/>
      <protection locked="0"/>
    </xf>
    <xf numFmtId="49" fontId="2" fillId="12" borderId="49" xfId="0" applyNumberFormat="1" applyFont="1" applyFill="1" applyBorder="1" applyAlignment="1" applyProtection="1">
      <alignment horizontal="center" vertical="center" wrapText="1"/>
      <protection locked="0"/>
    </xf>
    <xf numFmtId="49" fontId="2" fillId="28" borderId="136" xfId="0" applyNumberFormat="1" applyFont="1" applyFill="1" applyBorder="1" applyAlignment="1" applyProtection="1">
      <alignment horizontal="center" vertical="center" wrapText="1"/>
      <protection locked="0"/>
    </xf>
    <xf numFmtId="49" fontId="2" fillId="28" borderId="137" xfId="0" applyNumberFormat="1" applyFont="1" applyFill="1" applyBorder="1" applyAlignment="1" applyProtection="1">
      <alignment horizontal="center" vertical="center" wrapText="1"/>
      <protection locked="0"/>
    </xf>
    <xf numFmtId="0" fontId="0" fillId="24" borderId="138" xfId="0" applyFill="1" applyBorder="1" applyAlignment="1" applyProtection="1">
      <alignment horizontal="center"/>
      <protection/>
    </xf>
    <xf numFmtId="0" fontId="0" fillId="24" borderId="139" xfId="0" applyFill="1" applyBorder="1" applyAlignment="1" applyProtection="1">
      <alignment horizontal="center"/>
      <protection/>
    </xf>
    <xf numFmtId="0" fontId="0" fillId="24" borderId="140" xfId="0" applyFill="1" applyBorder="1" applyAlignment="1" applyProtection="1">
      <alignment horizontal="center"/>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3" xfId="0" applyFont="1" applyFill="1" applyBorder="1" applyAlignment="1" applyProtection="1">
      <alignment horizontal="left" vertical="center" wrapText="1"/>
      <protection/>
    </xf>
    <xf numFmtId="0" fontId="0" fillId="33" borderId="144" xfId="0" applyNumberFormat="1" applyFont="1" applyFill="1" applyBorder="1" applyAlignment="1" applyProtection="1">
      <alignment horizontal="left" vertical="center" wrapText="1"/>
      <protection locked="0"/>
    </xf>
    <xf numFmtId="0" fontId="0" fillId="33" borderId="145" xfId="0" applyNumberFormat="1" applyFont="1" applyFill="1" applyBorder="1" applyAlignment="1" applyProtection="1">
      <alignment horizontal="left" vertical="center" wrapText="1"/>
      <protection locked="0"/>
    </xf>
    <xf numFmtId="0" fontId="2" fillId="30" borderId="130"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49" fontId="2" fillId="28" borderId="136" xfId="0" applyNumberFormat="1" applyFont="1" applyFill="1" applyBorder="1" applyAlignment="1" applyProtection="1">
      <alignment horizontal="center" vertical="center" wrapText="1"/>
      <protection locked="0"/>
    </xf>
    <xf numFmtId="0" fontId="2" fillId="0" borderId="131" xfId="0" applyFont="1" applyFill="1" applyBorder="1" applyAlignment="1" applyProtection="1">
      <alignment horizontal="center" vertical="center" wrapText="1"/>
      <protection/>
    </xf>
    <xf numFmtId="43" fontId="18" fillId="22" borderId="12" xfId="128"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36" xfId="0" applyNumberFormat="1" applyFont="1" applyFill="1" applyBorder="1" applyAlignment="1" applyProtection="1">
      <alignment horizontal="center" vertical="center" wrapText="1"/>
      <protection locked="0"/>
    </xf>
    <xf numFmtId="49" fontId="2" fillId="12" borderId="137" xfId="0" applyNumberFormat="1" applyFont="1" applyFill="1" applyBorder="1" applyAlignment="1" applyProtection="1">
      <alignment horizontal="center" vertical="center" wrapText="1"/>
      <protection locked="0"/>
    </xf>
    <xf numFmtId="0" fontId="0" fillId="0" borderId="146" xfId="0" applyBorder="1" applyAlignment="1" applyProtection="1">
      <alignment horizontal="center"/>
      <protection/>
    </xf>
    <xf numFmtId="0" fontId="0" fillId="0" borderId="23" xfId="0" applyBorder="1" applyAlignment="1" applyProtection="1">
      <alignment horizontal="center"/>
      <protection/>
    </xf>
    <xf numFmtId="0" fontId="85" fillId="0" borderId="147" xfId="0" applyFont="1" applyBorder="1" applyAlignment="1" applyProtection="1">
      <alignment horizontal="right"/>
      <protection/>
    </xf>
    <xf numFmtId="0" fontId="17" fillId="0" borderId="147" xfId="0" applyFont="1" applyBorder="1" applyAlignment="1">
      <alignment/>
    </xf>
    <xf numFmtId="0" fontId="0" fillId="0" borderId="148" xfId="0" applyFill="1" applyBorder="1" applyAlignment="1" applyProtection="1">
      <alignment horizontal="center" vertical="center"/>
      <protection locked="0"/>
    </xf>
    <xf numFmtId="0" fontId="0" fillId="0" borderId="149" xfId="0" applyFill="1" applyBorder="1" applyAlignment="1" applyProtection="1">
      <alignment horizontal="center" vertical="center"/>
      <protection locked="0"/>
    </xf>
    <xf numFmtId="0" fontId="0" fillId="0" borderId="150"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3" fontId="64" fillId="26" borderId="0" xfId="90" applyFont="1" applyFill="1" applyAlignment="1" applyProtection="1">
      <alignment horizontal="center" vertical="center"/>
      <protection/>
    </xf>
    <xf numFmtId="0" fontId="2" fillId="0" borderId="151" xfId="0" applyFont="1" applyFill="1" applyBorder="1" applyAlignment="1" applyProtection="1">
      <alignment horizontal="left" vertical="center" wrapText="1"/>
      <protection/>
    </xf>
    <xf numFmtId="0" fontId="2" fillId="0" borderId="152" xfId="0" applyFont="1" applyFill="1" applyBorder="1" applyAlignment="1" applyProtection="1">
      <alignment horizontal="left" vertical="center" wrapText="1"/>
      <protection/>
    </xf>
    <xf numFmtId="0" fontId="2" fillId="0" borderId="153" xfId="0" applyFont="1" applyFill="1" applyBorder="1" applyAlignment="1" applyProtection="1">
      <alignment horizontal="left" vertical="center" wrapText="1"/>
      <protection/>
    </xf>
    <xf numFmtId="0" fontId="2" fillId="0" borderId="154"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55" xfId="0" applyFont="1" applyFill="1" applyBorder="1" applyAlignment="1" applyProtection="1">
      <alignment horizontal="left" vertical="center" wrapText="1"/>
      <protection/>
    </xf>
    <xf numFmtId="0" fontId="2" fillId="30" borderId="154"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55" xfId="0" applyFont="1" applyFill="1" applyBorder="1" applyAlignment="1" applyProtection="1">
      <alignment horizontal="left" vertical="center" wrapText="1"/>
      <protection/>
    </xf>
    <xf numFmtId="0" fontId="0" fillId="33" borderId="156" xfId="0" applyNumberFormat="1" applyFont="1" applyFill="1" applyBorder="1" applyAlignment="1" applyProtection="1">
      <alignment horizontal="left" vertical="center" wrapText="1"/>
      <protection locked="0"/>
    </xf>
    <xf numFmtId="0" fontId="0" fillId="33" borderId="157" xfId="0" applyNumberFormat="1" applyFont="1" applyFill="1" applyBorder="1" applyAlignment="1" applyProtection="1">
      <alignment horizontal="left" vertical="center" wrapText="1"/>
      <protection locked="0"/>
    </xf>
    <xf numFmtId="191" fontId="2" fillId="36" borderId="130" xfId="0" applyNumberFormat="1" applyFont="1" applyFill="1" applyBorder="1" applyAlignment="1" applyProtection="1">
      <alignment horizontal="center"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58"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28" applyNumberFormat="1" applyFont="1" applyFill="1" applyBorder="1" applyAlignment="1" applyProtection="1">
      <alignment horizontal="center"/>
      <protection locked="0"/>
    </xf>
    <xf numFmtId="15" fontId="0" fillId="0" borderId="12" xfId="128"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51" xfId="0" applyFont="1" applyFill="1" applyBorder="1" applyAlignment="1" applyProtection="1">
      <alignment horizontal="center" vertical="center"/>
      <protection/>
    </xf>
    <xf numFmtId="0" fontId="78" fillId="0" borderId="152" xfId="0" applyFont="1" applyFill="1" applyBorder="1" applyAlignment="1" applyProtection="1">
      <alignment horizontal="center" vertical="center"/>
      <protection/>
    </xf>
    <xf numFmtId="0" fontId="78" fillId="0" borderId="153" xfId="0" applyFont="1" applyFill="1" applyBorder="1" applyAlignment="1" applyProtection="1">
      <alignment horizontal="center" vertical="center"/>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9" xfId="0" applyFill="1" applyBorder="1" applyAlignment="1" applyProtection="1">
      <alignment horizontal="center" vertical="center" textRotation="90"/>
      <protection/>
    </xf>
    <xf numFmtId="43" fontId="17" fillId="0" borderId="160" xfId="0" applyNumberFormat="1" applyFont="1" applyBorder="1" applyAlignment="1" applyProtection="1">
      <alignment horizontal="center"/>
      <protection/>
    </xf>
    <xf numFmtId="0" fontId="17" fillId="0" borderId="161" xfId="0" applyFont="1" applyBorder="1" applyAlignment="1" applyProtection="1">
      <alignment horizontal="center"/>
      <protection/>
    </xf>
    <xf numFmtId="0" fontId="17" fillId="0" borderId="162" xfId="0" applyFont="1" applyBorder="1" applyAlignment="1" applyProtection="1">
      <alignment horizontal="center"/>
      <protection/>
    </xf>
    <xf numFmtId="0" fontId="29" fillId="0" borderId="163" xfId="0" applyFont="1" applyBorder="1" applyAlignment="1" applyProtection="1">
      <alignment horizontal="center" wrapText="1"/>
      <protection/>
    </xf>
    <xf numFmtId="0" fontId="29" fillId="0" borderId="164" xfId="0" applyFont="1" applyBorder="1" applyAlignment="1" applyProtection="1">
      <alignment horizontal="center" wrapText="1"/>
      <protection/>
    </xf>
    <xf numFmtId="0" fontId="29" fillId="0" borderId="165" xfId="0" applyFont="1" applyBorder="1" applyAlignment="1" applyProtection="1">
      <alignment horizontal="center" wrapText="1"/>
      <protection/>
    </xf>
    <xf numFmtId="43" fontId="27" fillId="13" borderId="45" xfId="128" applyFont="1" applyFill="1" applyBorder="1" applyAlignment="1" applyProtection="1">
      <alignment horizontal="center"/>
      <protection/>
    </xf>
    <xf numFmtId="43" fontId="1" fillId="0" borderId="45" xfId="128" applyFont="1" applyFill="1" applyBorder="1" applyAlignment="1" applyProtection="1">
      <alignment horizontal="right"/>
      <protection/>
    </xf>
    <xf numFmtId="43" fontId="107" fillId="34"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0" fontId="0" fillId="0" borderId="45" xfId="0" applyBorder="1" applyAlignment="1">
      <alignment/>
    </xf>
    <xf numFmtId="43" fontId="20" fillId="26" borderId="0" xfId="90" applyFont="1" applyFill="1" applyAlignment="1" applyProtection="1">
      <alignment horizontal="center" vertical="center"/>
      <protection/>
    </xf>
    <xf numFmtId="43" fontId="37" fillId="13" borderId="0" xfId="101" applyFont="1" applyFill="1" applyAlignment="1" applyProtection="1">
      <alignment horizontal="center" vertical="center" wrapText="1"/>
      <protection/>
    </xf>
    <xf numFmtId="198" fontId="27" fillId="13" borderId="45" xfId="128" applyNumberFormat="1" applyFont="1" applyFill="1" applyBorder="1" applyAlignment="1" applyProtection="1">
      <alignment horizontal="center" vertical="center"/>
      <protection/>
    </xf>
    <xf numFmtId="43" fontId="1" fillId="0" borderId="45" xfId="128" applyFont="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0" fontId="108" fillId="0" borderId="166"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108" fillId="0" borderId="167" xfId="0" applyFont="1" applyFill="1" applyBorder="1" applyAlignment="1" applyProtection="1">
      <alignment horizontal="left" wrapText="1"/>
      <protection/>
    </xf>
    <xf numFmtId="0" fontId="108" fillId="0" borderId="168"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28"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38" xfId="0" applyNumberFormat="1" applyFont="1" applyBorder="1" applyAlignment="1" applyProtection="1">
      <alignment horizontal="center" vertical="center" wrapText="1"/>
      <protection/>
    </xf>
    <xf numFmtId="43" fontId="102" fillId="0" borderId="139" xfId="0" applyNumberFormat="1" applyFont="1" applyBorder="1" applyAlignment="1" applyProtection="1">
      <alignment horizontal="center" vertical="center" wrapText="1"/>
      <protection/>
    </xf>
    <xf numFmtId="43" fontId="102" fillId="0" borderId="140" xfId="0" applyNumberFormat="1" applyFont="1" applyBorder="1" applyAlignment="1" applyProtection="1">
      <alignment horizontal="center" vertical="center" wrapText="1"/>
      <protection/>
    </xf>
    <xf numFmtId="0" fontId="0" fillId="0" borderId="169"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8" xfId="0" applyFill="1" applyBorder="1" applyAlignment="1" applyProtection="1">
      <alignment horizontal="center" vertical="center"/>
      <protection/>
    </xf>
    <xf numFmtId="0" fontId="0" fillId="0" borderId="149" xfId="0" applyFill="1" applyBorder="1" applyAlignment="1" applyProtection="1">
      <alignment horizontal="center" vertical="center"/>
      <protection/>
    </xf>
    <xf numFmtId="0" fontId="0" fillId="0" borderId="150"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0" fontId="86" fillId="0" borderId="0" xfId="0" applyFont="1" applyAlignment="1">
      <alignment horizontal="left" wrapText="1"/>
    </xf>
    <xf numFmtId="43" fontId="64" fillId="26" borderId="0" xfId="99"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99" applyFont="1" applyFill="1" applyAlignment="1" applyProtection="1">
      <alignment horizontal="center" vertical="center"/>
      <protection/>
    </xf>
    <xf numFmtId="0" fontId="38" fillId="0" borderId="123" xfId="0" applyFont="1" applyBorder="1" applyAlignment="1" applyProtection="1">
      <alignment horizontal="left"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29" applyFont="1" applyFill="1" applyBorder="1" applyAlignment="1" applyProtection="1">
      <alignment horizontal="center"/>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9" fontId="38" fillId="12" borderId="12" xfId="111"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0" borderId="12"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7" borderId="31" xfId="110" applyFont="1" applyFill="1" applyBorder="1" applyAlignment="1" applyProtection="1">
      <alignment horizontal="center" vertical="center" wrapText="1"/>
      <protection/>
    </xf>
    <xf numFmtId="9" fontId="40" fillId="37" borderId="49" xfId="110"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2" borderId="170"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9" fontId="38" fillId="12" borderId="31" xfId="111" applyFont="1" applyFill="1" applyBorder="1" applyAlignment="1" applyProtection="1">
      <alignment horizontal="left" vertical="center" wrapText="1"/>
      <protection locked="0"/>
    </xf>
    <xf numFmtId="9" fontId="38" fillId="12" borderId="48" xfId="111" applyFont="1" applyFill="1" applyBorder="1" applyAlignment="1" applyProtection="1">
      <alignment horizontal="left" vertical="center" wrapText="1"/>
      <protection locked="0"/>
    </xf>
    <xf numFmtId="9" fontId="38" fillId="12" borderId="49" xfId="111"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23" xfId="0" applyFont="1" applyFill="1" applyBorder="1" applyAlignment="1" applyProtection="1">
      <alignment horizontal="left"/>
      <protection/>
    </xf>
    <xf numFmtId="0" fontId="38" fillId="2" borderId="123"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2" fillId="12" borderId="171" xfId="0" applyFont="1" applyFill="1" applyBorder="1" applyAlignment="1" applyProtection="1">
      <alignment horizontal="center" vertical="top" wrapText="1"/>
      <protection locked="0"/>
    </xf>
    <xf numFmtId="0" fontId="2" fillId="12" borderId="172" xfId="0" applyFont="1" applyFill="1" applyBorder="1" applyAlignment="1" applyProtection="1">
      <alignment horizontal="center" vertical="top" wrapText="1"/>
      <protection locked="0"/>
    </xf>
    <xf numFmtId="0" fontId="2" fillId="12" borderId="173" xfId="0" applyFont="1" applyFill="1" applyBorder="1" applyAlignment="1" applyProtection="1">
      <alignment horizontal="center" vertical="top" wrapText="1"/>
      <protection locked="0"/>
    </xf>
    <xf numFmtId="0" fontId="2" fillId="12" borderId="174" xfId="0" applyFont="1" applyFill="1" applyBorder="1" applyAlignment="1" applyProtection="1">
      <alignment horizontal="center" vertical="top" wrapText="1"/>
      <protection locked="0"/>
    </xf>
    <xf numFmtId="0" fontId="2" fillId="12" borderId="175" xfId="0" applyFont="1" applyFill="1" applyBorder="1" applyAlignment="1" applyProtection="1">
      <alignment horizontal="center" vertical="top" wrapText="1"/>
      <protection locked="0"/>
    </xf>
    <xf numFmtId="0" fontId="2" fillId="12" borderId="17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77" xfId="0" applyFont="1" applyFill="1" applyBorder="1" applyAlignment="1" applyProtection="1">
      <alignment horizontal="center" vertical="center"/>
      <protection/>
    </xf>
    <xf numFmtId="0" fontId="63" fillId="3" borderId="178" xfId="0" applyFont="1" applyFill="1" applyBorder="1" applyAlignment="1" applyProtection="1">
      <alignment horizontal="center" vertical="center"/>
      <protection/>
    </xf>
    <xf numFmtId="0" fontId="63" fillId="3" borderId="179" xfId="0" applyFont="1" applyFill="1" applyBorder="1" applyAlignment="1" applyProtection="1">
      <alignment horizontal="center" vertical="center"/>
      <protection/>
    </xf>
    <xf numFmtId="0" fontId="2" fillId="13" borderId="180" xfId="0" applyFont="1" applyFill="1" applyBorder="1" applyAlignment="1" applyProtection="1">
      <alignment horizontal="center" vertical="top" wrapText="1"/>
      <protection locked="0"/>
    </xf>
    <xf numFmtId="0" fontId="2" fillId="13" borderId="181" xfId="0" applyFont="1" applyFill="1" applyBorder="1" applyAlignment="1" applyProtection="1">
      <alignment horizontal="center" vertical="top" wrapText="1"/>
      <protection locked="0"/>
    </xf>
    <xf numFmtId="0" fontId="2" fillId="13" borderId="182" xfId="0" applyFont="1" applyFill="1" applyBorder="1" applyAlignment="1" applyProtection="1">
      <alignment horizontal="center" vertical="top" wrapText="1"/>
      <protection locked="0"/>
    </xf>
    <xf numFmtId="0" fontId="2" fillId="13" borderId="183" xfId="0" applyFont="1" applyFill="1" applyBorder="1" applyAlignment="1" applyProtection="1">
      <alignment horizontal="center" vertical="top" wrapText="1"/>
      <protection locked="0"/>
    </xf>
    <xf numFmtId="0" fontId="2" fillId="13" borderId="184" xfId="0" applyFont="1" applyFill="1" applyBorder="1" applyAlignment="1" applyProtection="1">
      <alignment horizontal="center" vertical="top" wrapText="1"/>
      <protection locked="0"/>
    </xf>
    <xf numFmtId="0" fontId="2" fillId="13" borderId="185" xfId="0" applyFont="1" applyFill="1" applyBorder="1" applyAlignment="1" applyProtection="1">
      <alignment horizontal="center" vertical="top" wrapText="1"/>
      <protection locked="0"/>
    </xf>
    <xf numFmtId="0" fontId="2" fillId="13" borderId="186" xfId="0" applyFont="1" applyFill="1" applyBorder="1" applyAlignment="1" applyProtection="1">
      <alignment horizontal="center" vertical="top" wrapText="1"/>
      <protection locked="0"/>
    </xf>
    <xf numFmtId="0" fontId="2" fillId="13" borderId="187" xfId="0" applyFont="1" applyFill="1" applyBorder="1" applyAlignment="1" applyProtection="1">
      <alignment horizontal="center" vertical="top" wrapText="1"/>
      <protection locked="0"/>
    </xf>
    <xf numFmtId="0" fontId="2" fillId="13" borderId="188" xfId="0" applyFont="1" applyFill="1" applyBorder="1" applyAlignment="1" applyProtection="1">
      <alignment horizontal="center" vertical="top" wrapText="1"/>
      <protection locked="0"/>
    </xf>
    <xf numFmtId="0" fontId="79" fillId="0" borderId="189" xfId="0" applyFont="1" applyFill="1" applyBorder="1" applyAlignment="1" applyProtection="1">
      <alignment horizontal="center"/>
      <protection/>
    </xf>
    <xf numFmtId="0" fontId="79" fillId="0" borderId="190" xfId="0" applyFont="1" applyFill="1" applyBorder="1" applyAlignment="1" applyProtection="1">
      <alignment horizontal="center"/>
      <protection/>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49" fontId="2" fillId="3" borderId="193" xfId="0" applyNumberFormat="1" applyFont="1" applyFill="1" applyBorder="1" applyAlignment="1" applyProtection="1">
      <alignment horizontal="center" vertical="center"/>
      <protection locked="0"/>
    </xf>
    <xf numFmtId="49" fontId="2" fillId="3" borderId="19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9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96" xfId="0" applyNumberFormat="1" applyFont="1" applyFill="1" applyBorder="1" applyAlignment="1" applyProtection="1">
      <alignment horizontal="left" vertical="top" wrapText="1"/>
      <protection/>
    </xf>
    <xf numFmtId="0" fontId="81" fillId="0" borderId="197" xfId="0" applyNumberFormat="1" applyFont="1" applyFill="1" applyBorder="1" applyAlignment="1" applyProtection="1">
      <alignment horizontal="left" vertical="top" wrapText="1"/>
      <protection/>
    </xf>
    <xf numFmtId="0" fontId="81" fillId="0" borderId="198" xfId="0" applyNumberFormat="1" applyFont="1" applyFill="1" applyBorder="1" applyAlignment="1" applyProtection="1">
      <alignment horizontal="left" vertical="top" wrapText="1"/>
      <protection/>
    </xf>
    <xf numFmtId="0" fontId="81" fillId="0" borderId="199" xfId="0" applyNumberFormat="1" applyFont="1" applyFill="1" applyBorder="1" applyAlignment="1" applyProtection="1">
      <alignment horizontal="left" vertical="top" wrapText="1"/>
      <protection/>
    </xf>
    <xf numFmtId="49" fontId="2" fillId="3" borderId="200" xfId="0" applyNumberFormat="1" applyFont="1" applyFill="1" applyBorder="1" applyAlignment="1" applyProtection="1">
      <alignment horizontal="center" vertical="center"/>
      <protection locked="0"/>
    </xf>
    <xf numFmtId="49" fontId="2" fillId="3" borderId="201" xfId="0" applyNumberFormat="1" applyFont="1" applyFill="1" applyBorder="1" applyAlignment="1" applyProtection="1">
      <alignment horizontal="center" vertical="center"/>
      <protection locked="0"/>
    </xf>
    <xf numFmtId="49" fontId="2" fillId="3" borderId="202" xfId="0" applyNumberFormat="1" applyFont="1" applyFill="1" applyBorder="1" applyAlignment="1" applyProtection="1">
      <alignment horizontal="center" vertical="center"/>
      <protection locked="0"/>
    </xf>
    <xf numFmtId="9" fontId="2" fillId="0" borderId="203" xfId="110" applyNumberFormat="1" applyFont="1" applyFill="1" applyBorder="1" applyAlignment="1" applyProtection="1">
      <alignment horizontal="left" vertical="center" wrapText="1"/>
      <protection/>
    </xf>
    <xf numFmtId="0" fontId="2" fillId="0" borderId="192" xfId="110" applyNumberFormat="1" applyFont="1" applyFill="1" applyBorder="1" applyAlignment="1" applyProtection="1">
      <alignment horizontal="left" vertical="center" wrapText="1"/>
      <protection/>
    </xf>
    <xf numFmtId="0" fontId="2" fillId="0" borderId="204" xfId="110" applyNumberFormat="1" applyFont="1" applyFill="1" applyBorder="1" applyAlignment="1" applyProtection="1">
      <alignment horizontal="left" vertical="center" wrapText="1"/>
      <protection/>
    </xf>
    <xf numFmtId="0" fontId="2" fillId="12" borderId="205" xfId="0" applyFont="1" applyFill="1" applyBorder="1" applyAlignment="1" applyProtection="1">
      <alignment horizontal="center" vertical="top" wrapText="1"/>
      <protection locked="0"/>
    </xf>
    <xf numFmtId="0" fontId="2" fillId="12" borderId="206" xfId="0" applyFont="1" applyFill="1" applyBorder="1" applyAlignment="1" applyProtection="1">
      <alignment horizontal="center" vertical="top" wrapText="1"/>
      <protection locked="0"/>
    </xf>
    <xf numFmtId="0" fontId="2" fillId="12" borderId="207" xfId="0" applyFont="1" applyFill="1" applyBorder="1" applyAlignment="1" applyProtection="1">
      <alignment horizontal="center" vertical="top" wrapText="1"/>
      <protection locked="0"/>
    </xf>
    <xf numFmtId="0" fontId="81" fillId="0" borderId="208" xfId="0" applyNumberFormat="1" applyFont="1" applyFill="1" applyBorder="1" applyAlignment="1" applyProtection="1">
      <alignment horizontal="left" vertical="top" wrapText="1"/>
      <protection/>
    </xf>
    <xf numFmtId="0" fontId="113" fillId="13" borderId="209" xfId="0" applyFont="1" applyFill="1" applyBorder="1" applyAlignment="1" applyProtection="1">
      <alignment horizontal="center" vertical="center"/>
      <protection/>
    </xf>
    <xf numFmtId="0" fontId="113" fillId="13" borderId="210" xfId="0" applyFont="1" applyFill="1" applyBorder="1" applyAlignment="1" applyProtection="1">
      <alignment horizontal="center" vertical="center"/>
      <protection/>
    </xf>
    <xf numFmtId="0" fontId="0" fillId="0" borderId="210" xfId="0" applyBorder="1" applyAlignment="1">
      <alignment horizontal="center" vertical="center"/>
    </xf>
    <xf numFmtId="0" fontId="113" fillId="13" borderId="211" xfId="0" applyFont="1" applyFill="1" applyBorder="1" applyAlignment="1" applyProtection="1">
      <alignment horizontal="center" vertical="center"/>
      <protection/>
    </xf>
    <xf numFmtId="0" fontId="113" fillId="13" borderId="212" xfId="0" applyFont="1" applyFill="1" applyBorder="1" applyAlignment="1" applyProtection="1">
      <alignment horizontal="center" vertical="center"/>
      <protection/>
    </xf>
    <xf numFmtId="0" fontId="113" fillId="13" borderId="213" xfId="0" applyFont="1" applyFill="1" applyBorder="1" applyAlignment="1" applyProtection="1">
      <alignment horizontal="center" vertical="center"/>
      <protection/>
    </xf>
    <xf numFmtId="0" fontId="81" fillId="0" borderId="214" xfId="0" applyNumberFormat="1" applyFont="1" applyFill="1" applyBorder="1" applyAlignment="1" applyProtection="1">
      <alignment horizontal="left" vertical="top" wrapText="1"/>
      <protection/>
    </xf>
    <xf numFmtId="0" fontId="81" fillId="0" borderId="215" xfId="0" applyNumberFormat="1" applyFont="1" applyFill="1" applyBorder="1" applyAlignment="1" applyProtection="1">
      <alignment horizontal="left" vertical="top" wrapText="1"/>
      <protection/>
    </xf>
    <xf numFmtId="0" fontId="2" fillId="0" borderId="203" xfId="110" applyNumberFormat="1" applyFont="1" applyFill="1" applyBorder="1" applyAlignment="1" applyProtection="1">
      <alignment horizontal="left" vertical="center" wrapText="1"/>
      <protection/>
    </xf>
    <xf numFmtId="0" fontId="81" fillId="0" borderId="216" xfId="0" applyNumberFormat="1" applyFont="1" applyFill="1" applyBorder="1" applyAlignment="1" applyProtection="1">
      <alignment horizontal="left" vertical="top" wrapText="1"/>
      <protection/>
    </xf>
    <xf numFmtId="0" fontId="81" fillId="0" borderId="217" xfId="0" applyNumberFormat="1" applyFont="1" applyFill="1" applyBorder="1" applyAlignment="1" applyProtection="1">
      <alignment horizontal="left" vertical="top" wrapText="1"/>
      <protection/>
    </xf>
    <xf numFmtId="0" fontId="63" fillId="12" borderId="218" xfId="0" applyFont="1" applyFill="1" applyBorder="1" applyAlignment="1" applyProtection="1">
      <alignment horizontal="center" vertical="center"/>
      <protection/>
    </xf>
    <xf numFmtId="0" fontId="63" fillId="12" borderId="219" xfId="0" applyFont="1" applyFill="1" applyBorder="1" applyAlignment="1" applyProtection="1">
      <alignment horizontal="center" vertical="center"/>
      <protection/>
    </xf>
    <xf numFmtId="0" fontId="63" fillId="12" borderId="220" xfId="0" applyFont="1" applyFill="1" applyBorder="1" applyAlignment="1" applyProtection="1">
      <alignment horizontal="center" vertical="center"/>
      <protection/>
    </xf>
    <xf numFmtId="0" fontId="81" fillId="0" borderId="221" xfId="0" applyNumberFormat="1" applyFont="1" applyFill="1" applyBorder="1" applyAlignment="1" applyProtection="1">
      <alignment horizontal="left" vertical="center" wrapText="1"/>
      <protection/>
    </xf>
    <xf numFmtId="0" fontId="81" fillId="0" borderId="222" xfId="0" applyNumberFormat="1" applyFont="1" applyFill="1" applyBorder="1" applyAlignment="1" applyProtection="1">
      <alignment horizontal="left" vertical="center" wrapText="1"/>
      <protection/>
    </xf>
    <xf numFmtId="0" fontId="81" fillId="0" borderId="223" xfId="0" applyNumberFormat="1" applyFont="1" applyFill="1" applyBorder="1" applyAlignment="1" applyProtection="1">
      <alignment horizontal="left" vertical="center" wrapText="1"/>
      <protection/>
    </xf>
    <xf numFmtId="0" fontId="0" fillId="12" borderId="124" xfId="0" applyFill="1" applyBorder="1" applyAlignment="1" applyProtection="1">
      <alignment horizontal="center"/>
      <protection locked="0"/>
    </xf>
    <xf numFmtId="0" fontId="0" fillId="12" borderId="123" xfId="0" applyFill="1" applyBorder="1" applyAlignment="1" applyProtection="1">
      <alignment horizontal="center"/>
      <protection locked="0"/>
    </xf>
    <xf numFmtId="0" fontId="0" fillId="12" borderId="125"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78" fillId="8" borderId="15" xfId="106" applyNumberFormat="1" applyFont="1" applyFill="1" applyBorder="1" applyAlignment="1">
      <alignment horizontal="center" vertical="center" wrapText="1"/>
      <protection/>
    </xf>
    <xf numFmtId="0" fontId="78" fillId="8" borderId="224" xfId="106" applyNumberFormat="1" applyFont="1" applyFill="1" applyBorder="1" applyAlignment="1">
      <alignment horizontal="center" vertical="center" wrapText="1"/>
      <protection/>
    </xf>
    <xf numFmtId="0" fontId="24" fillId="0" borderId="192" xfId="0" applyFont="1" applyFill="1" applyBorder="1" applyAlignment="1" applyProtection="1">
      <alignment horizontal="left" vertical="center" wrapText="1"/>
      <protection locked="0"/>
    </xf>
    <xf numFmtId="0" fontId="24" fillId="0" borderId="225" xfId="0" applyFont="1" applyFill="1" applyBorder="1" applyAlignment="1" applyProtection="1">
      <alignment horizontal="left" vertical="center" wrapText="1"/>
      <protection locked="0"/>
    </xf>
    <xf numFmtId="0" fontId="24" fillId="0" borderId="226"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vertical="center" wrapText="1"/>
      <protection locked="0"/>
    </xf>
    <xf numFmtId="0" fontId="24" fillId="0" borderId="228"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9" xfId="0" applyFont="1" applyBorder="1" applyAlignment="1" applyProtection="1">
      <alignment horizontal="left"/>
      <protection locked="0"/>
    </xf>
    <xf numFmtId="0" fontId="24" fillId="0" borderId="230" xfId="0" applyFont="1" applyBorder="1" applyAlignment="1" applyProtection="1">
      <alignment horizontal="left"/>
      <protection locked="0"/>
    </xf>
    <xf numFmtId="0" fontId="24" fillId="0" borderId="230" xfId="0" applyFont="1" applyFill="1" applyBorder="1" applyAlignment="1" applyProtection="1">
      <alignment horizontal="left"/>
      <protection locked="0"/>
    </xf>
    <xf numFmtId="0" fontId="24" fillId="0" borderId="231" xfId="0" applyFont="1" applyFill="1" applyBorder="1" applyAlignment="1" applyProtection="1">
      <alignment horizontal="left"/>
      <protection locked="0"/>
    </xf>
    <xf numFmtId="0" fontId="24" fillId="0" borderId="232" xfId="0" applyFont="1" applyFill="1" applyBorder="1" applyAlignment="1" applyProtection="1">
      <alignment horizontal="left" vertical="top" wrapText="1"/>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01"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78" fillId="8" borderId="237" xfId="106" applyNumberFormat="1" applyFont="1" applyFill="1" applyBorder="1" applyAlignment="1">
      <alignment horizontal="center" vertical="center" wrapText="1"/>
      <protection/>
    </xf>
    <xf numFmtId="0" fontId="96" fillId="8" borderId="238"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229" xfId="0" applyFont="1" applyFill="1" applyBorder="1" applyAlignment="1" applyProtection="1">
      <alignment horizontal="left"/>
      <protection locked="0"/>
    </xf>
    <xf numFmtId="0" fontId="37" fillId="0" borderId="0" xfId="0" applyFont="1" applyAlignment="1">
      <alignment horizontal="center"/>
    </xf>
    <xf numFmtId="0" fontId="78" fillId="8" borderId="239" xfId="106" applyNumberFormat="1" applyFont="1" applyFill="1" applyBorder="1" applyAlignment="1">
      <alignment horizontal="center" vertical="center" wrapText="1"/>
      <protection/>
    </xf>
    <xf numFmtId="0" fontId="78" fillId="8" borderId="240" xfId="106" applyNumberFormat="1" applyFont="1" applyFill="1" applyBorder="1" applyAlignment="1">
      <alignment horizontal="center" vertical="center" wrapText="1"/>
      <protection/>
    </xf>
    <xf numFmtId="0" fontId="78" fillId="8" borderId="241" xfId="106" applyNumberFormat="1" applyFont="1" applyFill="1" applyBorder="1" applyAlignment="1">
      <alignment horizontal="center" vertical="center" wrapText="1"/>
      <protection/>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24" fillId="0" borderId="244" xfId="0" applyFont="1" applyFill="1" applyBorder="1" applyAlignment="1" applyProtection="1">
      <alignment horizontal="left" vertical="top" wrapText="1"/>
      <protection locked="0"/>
    </xf>
    <xf numFmtId="0" fontId="24" fillId="0" borderId="245" xfId="0" applyFont="1" applyFill="1" applyBorder="1" applyAlignment="1" applyProtection="1">
      <alignment horizontal="left" vertical="top" wrapText="1"/>
      <protection locked="0"/>
    </xf>
    <xf numFmtId="0" fontId="24" fillId="0" borderId="246" xfId="0" applyFont="1" applyFill="1" applyBorder="1" applyAlignment="1" applyProtection="1">
      <alignment horizontal="left" vertical="top" wrapText="1"/>
      <protection locked="0"/>
    </xf>
    <xf numFmtId="0" fontId="24" fillId="0" borderId="247" xfId="0" applyFont="1" applyFill="1" applyBorder="1" applyAlignment="1" applyProtection="1">
      <alignment horizontal="left" vertical="top" wrapText="1"/>
      <protection locked="0"/>
    </xf>
    <xf numFmtId="0" fontId="24" fillId="0" borderId="248" xfId="0" applyFont="1" applyFill="1" applyBorder="1" applyAlignment="1" applyProtection="1">
      <alignment horizontal="left"/>
      <protection locked="0"/>
    </xf>
    <xf numFmtId="0" fontId="24" fillId="0" borderId="192" xfId="0" applyFont="1" applyFill="1" applyBorder="1" applyAlignment="1" applyProtection="1">
      <alignment horizontal="left"/>
      <protection locked="0"/>
    </xf>
    <xf numFmtId="0" fontId="24" fillId="0" borderId="225" xfId="0" applyFont="1" applyFill="1" applyBorder="1" applyAlignment="1" applyProtection="1">
      <alignment horizontal="left"/>
      <protection locked="0"/>
    </xf>
    <xf numFmtId="0" fontId="24" fillId="0" borderId="249" xfId="0" applyFont="1" applyFill="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42" xfId="0" applyFont="1" applyBorder="1" applyAlignment="1" applyProtection="1">
      <alignment horizontal="left"/>
      <protection locked="0"/>
    </xf>
    <xf numFmtId="0" fontId="24" fillId="0" borderId="243"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28" xfId="0" applyFont="1" applyFill="1" applyBorder="1" applyAlignment="1" applyProtection="1">
      <alignment horizontal="left"/>
      <protection locked="0"/>
    </xf>
    <xf numFmtId="43" fontId="18" fillId="34" borderId="0" xfId="130" applyFont="1" applyFill="1" applyBorder="1" applyAlignment="1" applyProtection="1">
      <alignment horizontal="center"/>
      <protection locked="0"/>
    </xf>
    <xf numFmtId="0" fontId="24" fillId="0" borderId="250" xfId="0" applyFont="1" applyFill="1" applyBorder="1" applyAlignment="1" applyProtection="1">
      <alignment horizontal="left"/>
      <protection locked="0"/>
    </xf>
    <xf numFmtId="0" fontId="24" fillId="0" borderId="251" xfId="0" applyFont="1" applyFill="1" applyBorder="1" applyAlignment="1" applyProtection="1">
      <alignment horizontal="left"/>
      <protection locked="0"/>
    </xf>
    <xf numFmtId="0" fontId="24" fillId="0" borderId="231" xfId="0" applyFont="1" applyBorder="1" applyAlignment="1" applyProtection="1">
      <alignment horizontal="left"/>
      <protection locked="0"/>
    </xf>
    <xf numFmtId="0" fontId="24" fillId="0" borderId="251" xfId="0" applyFont="1" applyBorder="1" applyAlignment="1" applyProtection="1">
      <alignment horizontal="left"/>
      <protection locked="0"/>
    </xf>
    <xf numFmtId="0" fontId="24" fillId="0" borderId="250" xfId="0" applyFont="1" applyBorder="1" applyAlignment="1" applyProtection="1">
      <alignment horizontal="left"/>
      <protection locked="0"/>
    </xf>
    <xf numFmtId="43" fontId="20" fillId="26" borderId="0" xfId="90" applyFont="1" applyFill="1" applyAlignment="1">
      <alignment horizontal="center" vertical="center"/>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ercent 2" xfId="111"/>
    <cellStyle name="Porcentual 2" xfId="112"/>
    <cellStyle name="Porcentual 3" xfId="113"/>
    <cellStyle name="Porcentual 4" xfId="114"/>
    <cellStyle name="Porcentual 5" xfId="115"/>
    <cellStyle name="Porcentual 6" xfId="116"/>
    <cellStyle name="Porcentual 7" xfId="117"/>
    <cellStyle name="Porcentual 8"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ítulo 3 2" xfId="127"/>
    <cellStyle name="Título 3 3" xfId="128"/>
    <cellStyle name="Título 3 3_Prototipo" xfId="129"/>
    <cellStyle name="Título 3 3_PrototipoRep1" xfId="130"/>
    <cellStyle name="Título 3 4" xfId="131"/>
    <cellStyle name="Título 3 5" xfId="132"/>
    <cellStyle name="Título 3 6" xfId="133"/>
    <cellStyle name="Título 3 7" xfId="134"/>
    <cellStyle name="Título 3 8" xfId="135"/>
    <cellStyle name="Total" xfId="136"/>
    <cellStyle name="Warning Text" xfId="137"/>
  </cellStyles>
  <dxfs count="59">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
          <c:w val="0.961"/>
          <c:h val="0.795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6031966</c:v>
                </c:pt>
                <c:pt idx="1">
                  <c:v>7769728</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2868759</c:v>
                </c:pt>
                <c:pt idx="1">
                  <c:v>2868759</c:v>
                </c:pt>
                <c:pt idx="2">
                  <c:v>0</c:v>
                </c:pt>
                <c:pt idx="3">
                  <c:v>0</c:v>
                </c:pt>
                <c:pt idx="4">
                  <c:v>0</c:v>
                </c:pt>
                <c:pt idx="5">
                  <c:v>0</c:v>
                </c:pt>
                <c:pt idx="6">
                  <c:v>0</c:v>
                </c:pt>
                <c:pt idx="7">
                  <c:v>0</c:v>
                </c:pt>
                <c:pt idx="8">
                  <c:v>0</c:v>
                </c:pt>
                <c:pt idx="9">
                  <c:v>0</c:v>
                </c:pt>
                <c:pt idx="10">
                  <c:v>0</c:v>
                </c:pt>
                <c:pt idx="11">
                  <c:v>0</c:v>
                </c:pt>
              </c:numCache>
            </c:numRef>
          </c:val>
        </c:ser>
        <c:gapWidth val="70"/>
        <c:axId val="48657493"/>
        <c:axId val="35264254"/>
      </c:barChart>
      <c:catAx>
        <c:axId val="48657493"/>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4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35264254"/>
        <c:crosses val="autoZero"/>
        <c:auto val="1"/>
        <c:lblOffset val="100"/>
        <c:tickLblSkip val="1"/>
        <c:noMultiLvlLbl val="0"/>
      </c:catAx>
      <c:valAx>
        <c:axId val="352642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657493"/>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20" b="0" i="0" u="none" baseline="0">
                <a:solidFill>
                  <a:srgbClr val="000000"/>
                </a:solidFill>
              </a:defRPr>
            </a:pPr>
          </a:p>
        </c:txPr>
      </c:legendEntry>
      <c:legendEntry>
        <c:idx val="1"/>
        <c:txPr>
          <a:bodyPr vert="horz" rot="0"/>
          <a:lstStyle/>
          <a:p>
            <a:pPr>
              <a:defRPr lang="en-US" cap="none" sz="620" b="0" i="0" u="none" baseline="0">
                <a:solidFill>
                  <a:srgbClr val="000000"/>
                </a:solidFill>
              </a:defRPr>
            </a:pPr>
          </a:p>
        </c:txPr>
      </c:legendEntry>
      <c:layout>
        <c:manualLayout>
          <c:xMode val="edge"/>
          <c:yMode val="edge"/>
          <c:x val="0.12075"/>
          <c:y val="0.895"/>
          <c:w val="0.866"/>
          <c:h val="0.10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0.87</c:v>
                </c:pt>
                <c:pt idx="1">
                  <c:v>0.87</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0.84</c:v>
                </c:pt>
                <c:pt idx="1">
                  <c:v>0.8526803983085527</c:v>
                </c:pt>
              </c:numCache>
            </c:numRef>
          </c:val>
        </c:ser>
        <c:axId val="26280953"/>
        <c:axId val="35201986"/>
      </c:barChart>
      <c:catAx>
        <c:axId val="262809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5201986"/>
        <c:crosses val="autoZero"/>
        <c:auto val="1"/>
        <c:lblOffset val="100"/>
        <c:tickLblSkip val="1"/>
        <c:noMultiLvlLbl val="0"/>
      </c:catAx>
      <c:valAx>
        <c:axId val="3520198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6280953"/>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75"/>
          <c:w val="0.9435"/>
          <c:h val="0.868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17364.75</c:v>
                </c:pt>
                <c:pt idx="1">
                  <c:v>23153</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11025</c:v>
                </c:pt>
                <c:pt idx="1">
                  <c:v>14891</c:v>
                </c:pt>
              </c:numCache>
            </c:numRef>
          </c:val>
        </c:ser>
        <c:axId val="48382419"/>
        <c:axId val="32788588"/>
      </c:barChart>
      <c:catAx>
        <c:axId val="4838241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2788588"/>
        <c:crosses val="autoZero"/>
        <c:auto val="1"/>
        <c:lblOffset val="100"/>
        <c:tickLblSkip val="1"/>
        <c:noMultiLvlLbl val="0"/>
      </c:catAx>
      <c:valAx>
        <c:axId val="3278858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8382419"/>
        <c:crossesAt val="1"/>
        <c:crossBetween val="between"/>
        <c:dispUnits/>
      </c:valAx>
      <c:spPr>
        <a:noFill/>
        <a:ln>
          <a:noFill/>
        </a:ln>
      </c:spPr>
    </c:plotArea>
    <c:legend>
      <c:legendPos val="r"/>
      <c:layout>
        <c:manualLayout>
          <c:xMode val="edge"/>
          <c:yMode val="edge"/>
          <c:x val="0.16675"/>
          <c:y val="0.92975"/>
          <c:w val="0.59775"/>
          <c:h val="0.070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6031966</c:v>
                </c:pt>
                <c:pt idx="1">
                  <c:v>7769728</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2868759</c:v>
                </c:pt>
                <c:pt idx="1">
                  <c:v>2868759</c:v>
                </c:pt>
                <c:pt idx="2">
                  <c:v>0</c:v>
                </c:pt>
                <c:pt idx="3">
                  <c:v>0</c:v>
                </c:pt>
                <c:pt idx="4">
                  <c:v>0</c:v>
                </c:pt>
                <c:pt idx="5">
                  <c:v>0</c:v>
                </c:pt>
                <c:pt idx="6">
                  <c:v>0</c:v>
                </c:pt>
                <c:pt idx="7">
                  <c:v>0</c:v>
                </c:pt>
                <c:pt idx="8">
                  <c:v>0</c:v>
                </c:pt>
                <c:pt idx="9">
                  <c:v>0</c:v>
                </c:pt>
                <c:pt idx="10">
                  <c:v>0</c:v>
                </c:pt>
              </c:numCache>
            </c:numRef>
          </c:val>
        </c:ser>
        <c:dropLines>
          <c:spPr>
            <a:ln w="3175">
              <a:solidFill>
                <a:srgbClr val="000000"/>
              </a:solidFill>
            </a:ln>
          </c:spPr>
        </c:dropLines>
        <c:axId val="26661837"/>
        <c:axId val="38629942"/>
      </c:areaChart>
      <c:catAx>
        <c:axId val="266618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38629942"/>
        <c:crosses val="autoZero"/>
        <c:auto val="1"/>
        <c:lblOffset val="100"/>
        <c:tickLblSkip val="8"/>
        <c:noMultiLvlLbl val="0"/>
      </c:catAx>
      <c:valAx>
        <c:axId val="3862994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6661837"/>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175"/>
          <c:w val="0.894"/>
          <c:h val="0.910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2868759</c:v>
                </c:pt>
                <c:pt idx="1">
                  <c:v>1097421.95</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0</c:v>
                </c:pt>
                <c:pt idx="1">
                  <c:v>761419.51</c:v>
                </c:pt>
              </c:numCache>
            </c:numRef>
          </c:val>
        </c:ser>
        <c:overlap val="100"/>
        <c:axId val="48942831"/>
        <c:axId val="37832296"/>
      </c:barChart>
      <c:catAx>
        <c:axId val="48942831"/>
        <c:scaling>
          <c:orientation val="minMax"/>
        </c:scaling>
        <c:axPos val="b"/>
        <c:delete val="0"/>
        <c:numFmt formatCode="General" sourceLinked="1"/>
        <c:majorTickMark val="out"/>
        <c:minorTickMark val="none"/>
        <c:tickLblPos val="nextTo"/>
        <c:spPr>
          <a:ln w="3175">
            <a:solidFill>
              <a:srgbClr val="808080"/>
            </a:solidFill>
          </a:ln>
        </c:spPr>
        <c:crossAx val="37832296"/>
        <c:crossesAt val="0"/>
        <c:auto val="1"/>
        <c:lblOffset val="100"/>
        <c:tickLblSkip val="1"/>
        <c:noMultiLvlLbl val="0"/>
      </c:catAx>
      <c:valAx>
        <c:axId val="3783229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9428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625"/>
          <c:w val="0.94475"/>
          <c:h val="0.745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Entry'!$C$39:$C$43</c:f>
              <c:numCache>
                <c:ptCount val="5"/>
                <c:pt idx="0">
                  <c:v>2485141</c:v>
                </c:pt>
                <c:pt idx="1">
                  <c:v>588208</c:v>
                </c:pt>
                <c:pt idx="2">
                  <c:v>1395373</c:v>
                </c:pt>
                <c:pt idx="3">
                  <c:v>89402</c:v>
                </c:pt>
                <c:pt idx="4">
                  <c:v>127370</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Entry'!$D$39:$D$43</c:f>
              <c:numCache>
                <c:ptCount val="5"/>
                <c:pt idx="0">
                  <c:v>959200</c:v>
                </c:pt>
                <c:pt idx="1">
                  <c:v>13310</c:v>
                </c:pt>
                <c:pt idx="2">
                  <c:v>320549.54</c:v>
                </c:pt>
                <c:pt idx="3">
                  <c:v>0</c:v>
                </c:pt>
                <c:pt idx="4">
                  <c:v>46164</c:v>
                </c:pt>
              </c:numCache>
            </c:numRef>
          </c:val>
        </c:ser>
        <c:axId val="4946345"/>
        <c:axId val="44517106"/>
      </c:barChart>
      <c:catAx>
        <c:axId val="4946345"/>
        <c:scaling>
          <c:orientation val="minMax"/>
        </c:scaling>
        <c:axPos val="b"/>
        <c:delete val="0"/>
        <c:numFmt formatCode="General" sourceLinked="1"/>
        <c:majorTickMark val="out"/>
        <c:minorTickMark val="none"/>
        <c:tickLblPos val="nextTo"/>
        <c:spPr>
          <a:ln w="3175">
            <a:solidFill>
              <a:srgbClr val="000000"/>
            </a:solidFill>
          </a:ln>
        </c:spPr>
        <c:crossAx val="44517106"/>
        <c:crosses val="autoZero"/>
        <c:auto val="1"/>
        <c:lblOffset val="100"/>
        <c:tickLblSkip val="1"/>
        <c:noMultiLvlLbl val="0"/>
      </c:catAx>
      <c:valAx>
        <c:axId val="4451710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94634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numCache>
            </c:numRef>
          </c:val>
        </c:ser>
        <c:overlap val="100"/>
        <c:gapWidth val="79"/>
        <c:axId val="65109635"/>
        <c:axId val="49115804"/>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39389053"/>
        <c:axId val="18957158"/>
      </c:barChart>
      <c:catAx>
        <c:axId val="65109635"/>
        <c:scaling>
          <c:orientation val="minMax"/>
        </c:scaling>
        <c:axPos val="l"/>
        <c:delete val="1"/>
        <c:majorTickMark val="out"/>
        <c:minorTickMark val="none"/>
        <c:tickLblPos val="nextTo"/>
        <c:crossAx val="49115804"/>
        <c:crosses val="autoZero"/>
        <c:auto val="1"/>
        <c:lblOffset val="100"/>
        <c:tickLblSkip val="1"/>
        <c:noMultiLvlLbl val="0"/>
      </c:catAx>
      <c:valAx>
        <c:axId val="4911580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5109635"/>
        <c:crosses val="max"/>
        <c:crossBetween val="between"/>
        <c:dispUnits/>
      </c:valAx>
      <c:catAx>
        <c:axId val="39389053"/>
        <c:scaling>
          <c:orientation val="minMax"/>
        </c:scaling>
        <c:axPos val="l"/>
        <c:delete val="1"/>
        <c:majorTickMark val="out"/>
        <c:minorTickMark val="none"/>
        <c:tickLblPos val="nextTo"/>
        <c:crossAx val="18957158"/>
        <c:crosses val="autoZero"/>
        <c:auto val="0"/>
        <c:lblOffset val="100"/>
        <c:tickLblSkip val="1"/>
        <c:noMultiLvlLbl val="0"/>
      </c:catAx>
      <c:valAx>
        <c:axId val="18957158"/>
        <c:scaling>
          <c:orientation val="minMax"/>
        </c:scaling>
        <c:axPos val="b"/>
        <c:delete val="0"/>
        <c:numFmt formatCode="General" sourceLinked="1"/>
        <c:majorTickMark val="none"/>
        <c:minorTickMark val="none"/>
        <c:tickLblPos val="none"/>
        <c:spPr>
          <a:ln w="3175">
            <a:solidFill>
              <a:srgbClr val="000000"/>
            </a:solidFill>
          </a:ln>
        </c:spPr>
        <c:crossAx val="39389053"/>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25"/>
          <c:w val="0.976"/>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117</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117</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47</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47</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47</c:v>
                </c:pt>
              </c:numCache>
            </c:numRef>
          </c:val>
        </c:ser>
        <c:overlap val="-20"/>
        <c:axId val="36396695"/>
        <c:axId val="59134800"/>
      </c:barChart>
      <c:catAx>
        <c:axId val="36396695"/>
        <c:scaling>
          <c:orientation val="minMax"/>
        </c:scaling>
        <c:axPos val="b"/>
        <c:delete val="0"/>
        <c:numFmt formatCode="General" sourceLinked="1"/>
        <c:majorTickMark val="none"/>
        <c:minorTickMark val="none"/>
        <c:tickLblPos val="none"/>
        <c:spPr>
          <a:ln w="3175">
            <a:solidFill>
              <a:srgbClr val="000000"/>
            </a:solidFill>
          </a:ln>
        </c:spPr>
        <c:crossAx val="59134800"/>
        <c:crosses val="autoZero"/>
        <c:auto val="0"/>
        <c:lblOffset val="100"/>
        <c:tickLblSkip val="1"/>
        <c:noMultiLvlLbl val="0"/>
      </c:catAx>
      <c:valAx>
        <c:axId val="59134800"/>
        <c:scaling>
          <c:orientation val="minMax"/>
        </c:scaling>
        <c:axPos val="l"/>
        <c:delete val="0"/>
        <c:numFmt formatCode="General" sourceLinked="1"/>
        <c:majorTickMark val="out"/>
        <c:minorTickMark val="none"/>
        <c:tickLblPos val="nextTo"/>
        <c:spPr>
          <a:ln w="3175">
            <a:solidFill>
              <a:srgbClr val="000000"/>
            </a:solidFill>
          </a:ln>
        </c:spPr>
        <c:crossAx val="36396695"/>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62451153"/>
        <c:axId val="25189466"/>
      </c:barChart>
      <c:catAx>
        <c:axId val="624511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89466"/>
        <c:crosses val="autoZero"/>
        <c:auto val="1"/>
        <c:lblOffset val="100"/>
        <c:tickLblSkip val="1"/>
        <c:noMultiLvlLbl val="0"/>
      </c:catAx>
      <c:valAx>
        <c:axId val="251894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451153"/>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225"/>
          <c:w val="0.978"/>
          <c:h val="0.757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0">
                  <c:v>0</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25378603"/>
        <c:axId val="27080836"/>
      </c:barChart>
      <c:catAx>
        <c:axId val="25378603"/>
        <c:scaling>
          <c:orientation val="minMax"/>
        </c:scaling>
        <c:axPos val="l"/>
        <c:delete val="0"/>
        <c:numFmt formatCode="General" sourceLinked="1"/>
        <c:majorTickMark val="out"/>
        <c:minorTickMark val="none"/>
        <c:tickLblPos val="nextTo"/>
        <c:spPr>
          <a:ln w="3175">
            <a:solidFill>
              <a:srgbClr val="000000"/>
            </a:solidFill>
          </a:ln>
        </c:spPr>
        <c:crossAx val="27080836"/>
        <c:crosses val="autoZero"/>
        <c:auto val="1"/>
        <c:lblOffset val="100"/>
        <c:tickLblSkip val="1"/>
        <c:noMultiLvlLbl val="0"/>
      </c:catAx>
      <c:valAx>
        <c:axId val="2708083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5378603"/>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5"/>
          <c:w val="0.902"/>
          <c:h val="0.730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5054536.74</c:v>
                </c:pt>
                <c:pt idx="1">
                  <c:v>5228735.9</c:v>
                </c:pt>
                <c:pt idx="2">
                  <c:v>5228735.9</c:v>
                </c:pt>
                <c:pt idx="3">
                  <c:v>5228735.9</c:v>
                </c:pt>
                <c:pt idx="4">
                  <c:v>5228735.9</c:v>
                </c:pt>
                <c:pt idx="5">
                  <c:v>5228735.9</c:v>
                </c:pt>
                <c:pt idx="6">
                  <c:v>5228735.9</c:v>
                </c:pt>
                <c:pt idx="7">
                  <c:v>5228735.9</c:v>
                </c:pt>
                <c:pt idx="8">
                  <c:v>5228735.9</c:v>
                </c:pt>
                <c:pt idx="9">
                  <c:v>5228735.9</c:v>
                </c:pt>
                <c:pt idx="10">
                  <c:v>5228735.9</c:v>
                </c:pt>
                <c:pt idx="11">
                  <c:v>5228735.9</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480382.58</c:v>
                </c:pt>
                <c:pt idx="1">
                  <c:v>5257261.12</c:v>
                </c:pt>
                <c:pt idx="2">
                  <c:v>5257261.12</c:v>
                </c:pt>
                <c:pt idx="3">
                  <c:v>5257261.12</c:v>
                </c:pt>
                <c:pt idx="4">
                  <c:v>5257261.12</c:v>
                </c:pt>
                <c:pt idx="5">
                  <c:v>5257261.12</c:v>
                </c:pt>
                <c:pt idx="6">
                  <c:v>5257261.12</c:v>
                </c:pt>
                <c:pt idx="7">
                  <c:v>5257261.12</c:v>
                </c:pt>
                <c:pt idx="8">
                  <c:v>5257261.12</c:v>
                </c:pt>
                <c:pt idx="9">
                  <c:v>5257261.12</c:v>
                </c:pt>
                <c:pt idx="10">
                  <c:v>5257261.12</c:v>
                </c:pt>
                <c:pt idx="11">
                  <c:v>5257261.12</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4409362.83</c:v>
                </c:pt>
                <c:pt idx="1">
                  <c:v>4450547.76</c:v>
                </c:pt>
                <c:pt idx="2">
                  <c:v>4450547.76</c:v>
                </c:pt>
                <c:pt idx="3">
                  <c:v>4450547.76</c:v>
                </c:pt>
                <c:pt idx="4">
                  <c:v>4450547.76</c:v>
                </c:pt>
                <c:pt idx="5">
                  <c:v>4450547.76</c:v>
                </c:pt>
                <c:pt idx="6">
                  <c:v>4450547.76</c:v>
                </c:pt>
                <c:pt idx="7">
                  <c:v>4450547.76</c:v>
                </c:pt>
                <c:pt idx="8">
                  <c:v>4450547.76</c:v>
                </c:pt>
                <c:pt idx="9">
                  <c:v>4450547.76</c:v>
                </c:pt>
                <c:pt idx="10">
                  <c:v>4450547.76</c:v>
                </c:pt>
                <c:pt idx="11">
                  <c:v>4450547.76</c:v>
                </c:pt>
              </c:numCache>
            </c:numRef>
          </c:val>
          <c:smooth val="0"/>
        </c:ser>
        <c:marker val="1"/>
        <c:axId val="42400933"/>
        <c:axId val="46064078"/>
      </c:lineChart>
      <c:catAx>
        <c:axId val="424009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6064078"/>
        <c:crosses val="autoZero"/>
        <c:auto val="1"/>
        <c:lblOffset val="100"/>
        <c:tickLblSkip val="1"/>
        <c:noMultiLvlLbl val="0"/>
      </c:catAx>
      <c:valAx>
        <c:axId val="460640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2400933"/>
        <c:crossesAt val="1"/>
        <c:crossBetween val="between"/>
        <c:dispUnits/>
      </c:valAx>
      <c:spPr>
        <a:solidFill>
          <a:srgbClr val="FFFFFF"/>
        </a:solidFill>
        <a:ln w="12700">
          <a:solidFill>
            <a:srgbClr val="808080"/>
          </a:solidFill>
        </a:ln>
      </c:spPr>
    </c:plotArea>
    <c:legend>
      <c:legendPos val="r"/>
      <c:layout>
        <c:manualLayout>
          <c:xMode val="edge"/>
          <c:yMode val="edge"/>
          <c:x val="0.051"/>
          <c:y val="0.70525"/>
          <c:w val="0.944"/>
          <c:h val="0.1792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25"/>
          <c:h val="0.8682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8508.75</c:v>
                </c:pt>
                <c:pt idx="1">
                  <c:v>11345</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5642</c:v>
                </c:pt>
                <c:pt idx="1">
                  <c:v>8178</c:v>
                </c:pt>
              </c:numCache>
            </c:numRef>
          </c:val>
        </c:ser>
        <c:axId val="11923519"/>
        <c:axId val="40202808"/>
      </c:barChart>
      <c:catAx>
        <c:axId val="1192351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0202808"/>
        <c:crosses val="autoZero"/>
        <c:auto val="1"/>
        <c:lblOffset val="100"/>
        <c:tickLblSkip val="1"/>
        <c:noMultiLvlLbl val="0"/>
      </c:catAx>
      <c:valAx>
        <c:axId val="4020280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1923519"/>
        <c:crossesAt val="1"/>
        <c:crossBetween val="between"/>
        <c:dispUnits/>
      </c:valAx>
      <c:spPr>
        <a:noFill/>
        <a:ln>
          <a:noFill/>
        </a:ln>
      </c:spPr>
    </c:plotArea>
    <c:legend>
      <c:legendPos val="r"/>
      <c:layout>
        <c:manualLayout>
          <c:xMode val="edge"/>
          <c:yMode val="edge"/>
          <c:x val="0.16375"/>
          <c:y val="0.92925"/>
          <c:w val="0.6"/>
          <c:h val="0.070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104775</xdr:rowOff>
    </xdr:to>
    <xdr:grpSp>
      <xdr:nvGrpSpPr>
        <xdr:cNvPr id="30" name="Group 831">
          <a:hlinkClick r:id="rId8"/>
        </xdr:cNvPr>
        <xdr:cNvGrpSpPr>
          <a:grpSpLocks/>
        </xdr:cNvGrpSpPr>
      </xdr:nvGrpSpPr>
      <xdr:grpSpPr>
        <a:xfrm>
          <a:off x="590550" y="3467100"/>
          <a:ext cx="1504950" cy="352425"/>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815665"/>
              <a:ext cx="3605494" cy="555476"/>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53935"/>
              <a:ext cx="357845" cy="249036"/>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400050"/>
    <xdr:sp>
      <xdr:nvSpPr>
        <xdr:cNvPr id="46" name="Text Box 2013"/>
        <xdr:cNvSpPr txBox="1">
          <a:spLocks noChangeArrowheads="1"/>
        </xdr:cNvSpPr>
      </xdr:nvSpPr>
      <xdr:spPr>
        <a:xfrm>
          <a:off x="428625" y="1895475"/>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104775</xdr:rowOff>
    </xdr:from>
    <xdr:ext cx="1990725" cy="381000"/>
    <xdr:sp>
      <xdr:nvSpPr>
        <xdr:cNvPr id="48" name="Text Box 2017"/>
        <xdr:cNvSpPr txBox="1">
          <a:spLocks noChangeArrowheads="1"/>
        </xdr:cNvSpPr>
      </xdr:nvSpPr>
      <xdr:spPr>
        <a:xfrm>
          <a:off x="29527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104775</xdr:rowOff>
    </xdr:from>
    <xdr:ext cx="1990725" cy="381000"/>
    <xdr:sp>
      <xdr:nvSpPr>
        <xdr:cNvPr id="50" name="Text Box 2019"/>
        <xdr:cNvSpPr txBox="1">
          <a:spLocks noChangeArrowheads="1"/>
        </xdr:cNvSpPr>
      </xdr:nvSpPr>
      <xdr:spPr>
        <a:xfrm>
          <a:off x="54673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3526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788670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32"/>
        <xdr:cNvGraphicFramePr/>
      </xdr:nvGraphicFramePr>
      <xdr:xfrm>
        <a:off x="257175" y="2219325"/>
        <a:ext cx="3638550" cy="21717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028825"/>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574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076450"/>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Desktop\General%202\NTP%20Data\NTP%20Cohort\Cohort%201999-2015\District%20TB%20Data\Data_Region_09_12\District%20Data%202015\NTP%20Cohort%202014_Mab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Desktop\General%202\NTP%20Data\NTP%20Cohort\Cohort%201999-2015\District%20TB%20Data\Data_Region_09_12\District%20Data%202014\2014%20Analyzed\Bismarck\NTP%20Cohort%202015%20-%20workin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es (All forms)"/>
      <sheetName val="Cases TBHIV"/>
      <sheetName val="TBHIV Activities"/>
      <sheetName val="CBTC Activities"/>
      <sheetName val="Age&amp;SexNSP"/>
      <sheetName val="Age&amp;SexNSN"/>
      <sheetName val="Age&amp;SexEP"/>
      <sheetName val="Age&amp;SexRelapse"/>
      <sheetName val="Age&amp;SexTAF"/>
      <sheetName val="Age&amp;SexTALF"/>
      <sheetName val="Age&amp;SexOPT"/>
      <sheetName val="Age&amp;SexOPTU"/>
      <sheetName val="Age&amp;SexSND"/>
      <sheetName val="RxOut NSP Adult"/>
      <sheetName val="RxOut NSN adult"/>
      <sheetName val="RxOut EP adult"/>
      <sheetName val="RxOut Relapse adult"/>
      <sheetName val="RxOutTreatAfterFailure adult"/>
      <sheetName val="RxOut ReturnAfterLostTFollowupA"/>
      <sheetName val="RxOut OtherPreviouslyTreatadult"/>
      <sheetName val="RxOut Prev Treat Unknown adult"/>
      <sheetName val="RxOut NSP Paed"/>
      <sheetName val="Outcomes"/>
      <sheetName val="RxOut Relapse Peads"/>
      <sheetName val="RxOutTreatAfterFailure Pead"/>
      <sheetName val="RxOut RALTF Pead"/>
      <sheetName val="RxOut NSN Paed"/>
      <sheetName val="RXOut NAND Paed"/>
      <sheetName val="RxOut EP Paed"/>
      <sheetName val="RxOut OtherPreviouslyTreatPead"/>
      <sheetName val="RxOut HIV NSP"/>
      <sheetName val="RxOutHIVTB NSN Adult"/>
      <sheetName val="RxOutHIVTB EP adult"/>
      <sheetName val="RxOutHIV Relapse adult"/>
      <sheetName val="RxOutHIV TAFailure adult"/>
      <sheetName val="RxOutHIV RALTF adult"/>
      <sheetName val="RxOutHIVTB OtherPrevTreat adult"/>
      <sheetName val="RxOutHIV PrevTreatUnknown adult"/>
      <sheetName val="RxOutHIVTB NSP Paed"/>
      <sheetName val="RxOutHIVTB Relapse Pead"/>
      <sheetName val="RxOutHIVTB TALFollowup Pead"/>
      <sheetName val="RxOutHIVTB NSN Paed"/>
      <sheetName val="RxOutHIVTB EP Paed"/>
      <sheetName val="RxOutHIVTB NA Paed"/>
      <sheetName val="RxOutHIVTB PreviouslyTreat Paed"/>
      <sheetName val="Sheet7"/>
    </sheetNames>
    <sheetDataSet>
      <sheetData sheetId="22">
        <row r="13">
          <cell r="M13">
            <v>0.8526803983085527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es (All forms)"/>
      <sheetName val="Cases TBHIV"/>
      <sheetName val="TBHIV Activities"/>
      <sheetName val="CBTC Activities"/>
      <sheetName val="Age&amp;SexNSP"/>
      <sheetName val="Age&amp;SexNSN"/>
      <sheetName val="Age&amp;SexEP"/>
      <sheetName val="Age&amp;SexRelapse"/>
      <sheetName val="Age&amp;SexTAF"/>
      <sheetName val="Age&amp;SexTALF"/>
      <sheetName val="Age&amp;SexOPT"/>
      <sheetName val="Age&amp;SexOPTU"/>
      <sheetName val="Age&amp;SexSND"/>
      <sheetName val="RxOut NSP Adult"/>
      <sheetName val="RxOut NSN adult"/>
      <sheetName val="RxOut EP adult"/>
      <sheetName val="RxOut Relapse adult"/>
      <sheetName val="RxOutTreatAfterFailures adult"/>
      <sheetName val="RxOut ReturnAfterFollow-upAdult"/>
      <sheetName val="RxOut OtherPreviouslyTreatadult"/>
      <sheetName val="RxOut Prev Treat Unknown adult"/>
      <sheetName val="RxOut NSP Paed"/>
      <sheetName val="RxOut Relapse Peads"/>
      <sheetName val="RxOutTreatAfterFailure Pead"/>
      <sheetName val="RxOut RALTF Pead"/>
      <sheetName val="RxOut NSN Paed"/>
      <sheetName val="RXOut NAND Paed"/>
      <sheetName val="RxOut EP Paed"/>
      <sheetName val="RxOut OtherPreviouslyTreatPead"/>
      <sheetName val="RxOut HIV NSP"/>
      <sheetName val="RxOutHIVTB NSN Adult"/>
      <sheetName val="RxOutHIVTB EP adult"/>
      <sheetName val="RxOutHIV Relapse adult"/>
      <sheetName val="RxOutHIV TAFailure adult"/>
      <sheetName val="RxOutHIV RALTF adult"/>
      <sheetName val="RxOutHIVTB OtherPrevTreat adult"/>
      <sheetName val="RxOutHIV PrevTreatUnknown adult"/>
      <sheetName val="RxOutHIVTB NSP Paed"/>
      <sheetName val="RxOutHIVTB Relapse Pead"/>
      <sheetName val="RxOutHIVTB TALFollowup Pead"/>
      <sheetName val="RxOutHIVTB NSN Paed"/>
      <sheetName val="RxOutHIVTB EP Paed"/>
      <sheetName val="RxOutHIVTB NA Paed"/>
      <sheetName val="RxOutHIVTB PreviouslyTreat Paed"/>
      <sheetName val="Sheet7"/>
      <sheetName val="Sheet1"/>
    </sheetNames>
    <sheetDataSet>
      <sheetData sheetId="0">
        <row r="77">
          <cell r="E77">
            <v>8178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N3" sqref="N3"/>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6" t="str">
        <f>+'Grant Detail'!B3:J3</f>
        <v>Dashboard:  Ghana - TB</v>
      </c>
      <c r="C2" s="506"/>
      <c r="D2" s="506"/>
      <c r="E2" s="506"/>
      <c r="F2" s="506"/>
      <c r="G2" s="506"/>
      <c r="H2" s="506"/>
      <c r="I2" s="506"/>
      <c r="J2" s="506"/>
      <c r="K2" s="506"/>
      <c r="L2" s="506"/>
      <c r="M2" s="1"/>
      <c r="N2" s="1"/>
      <c r="O2" s="1"/>
    </row>
    <row r="4" spans="2:12" ht="21">
      <c r="B4" s="507" t="str">
        <f>+IF('Data Entry'!G6="Please Select","",'Data Entry'!G6)&amp;"  "&amp;+IF('Data Entry'!G8="Please Select","",'Data Entry'!G8&amp;",  ")&amp;+IF('Data Entry'!I8="Please Select","",'Data Entry'!I8)</f>
        <v>TB  ,  </v>
      </c>
      <c r="C4" s="507"/>
      <c r="D4" s="507"/>
      <c r="E4" s="508"/>
      <c r="F4" s="233"/>
      <c r="G4" s="233"/>
      <c r="H4" s="359" t="str">
        <f>+'Data Entry'!B6&amp;" "&amp;+'Data Entry'!C6</f>
        <v>Grant No.: GHA-T-MOH</v>
      </c>
      <c r="I4" s="359"/>
      <c r="J4" s="232"/>
      <c r="K4" s="233"/>
      <c r="L4" s="233"/>
    </row>
    <row r="22" spans="2:12" ht="26.25">
      <c r="B22" s="509" t="s">
        <v>407</v>
      </c>
      <c r="C22" s="510"/>
      <c r="D22" s="510"/>
      <c r="E22" s="510"/>
      <c r="F22" s="510"/>
      <c r="G22" s="510"/>
      <c r="H22" s="510"/>
      <c r="I22" s="510"/>
      <c r="J22" s="510"/>
      <c r="K22" s="510"/>
      <c r="L22" s="510"/>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01" t="str">
        <f>'Grant Detail'!B3:J3</f>
        <v>Dashboard:  Ghana - TB</v>
      </c>
      <c r="C3" s="901"/>
      <c r="D3" s="901"/>
      <c r="E3" s="901"/>
      <c r="F3" s="901"/>
      <c r="G3" s="901"/>
      <c r="H3" s="901"/>
      <c r="I3" s="1"/>
    </row>
    <row r="6" spans="2:8" ht="18.75">
      <c r="B6" s="875" t="s">
        <v>319</v>
      </c>
      <c r="C6" s="875"/>
      <c r="D6" s="875"/>
      <c r="E6" s="875"/>
      <c r="F6" s="875"/>
      <c r="G6" s="875"/>
      <c r="H6" s="875"/>
    </row>
    <row r="8" spans="2:15" ht="18.75">
      <c r="B8" s="62" t="s">
        <v>33</v>
      </c>
      <c r="C8" s="62" t="s">
        <v>36</v>
      </c>
      <c r="D8" s="62" t="s">
        <v>37</v>
      </c>
      <c r="E8" s="62" t="s">
        <v>42</v>
      </c>
      <c r="F8" s="62" t="s">
        <v>286</v>
      </c>
      <c r="G8" s="62" t="s">
        <v>265</v>
      </c>
      <c r="H8" s="62" t="s">
        <v>293</v>
      </c>
      <c r="I8" s="63" t="s">
        <v>88</v>
      </c>
      <c r="J8" s="63" t="s">
        <v>129</v>
      </c>
      <c r="M8" s="19"/>
      <c r="N8" s="19"/>
      <c r="O8" s="19"/>
    </row>
    <row r="9" spans="2:15" ht="15">
      <c r="B9" s="86" t="s">
        <v>373</v>
      </c>
      <c r="C9" s="86" t="s">
        <v>373</v>
      </c>
      <c r="D9" s="86" t="s">
        <v>373</v>
      </c>
      <c r="E9" s="86" t="s">
        <v>373</v>
      </c>
      <c r="F9" s="86" t="s">
        <v>373</v>
      </c>
      <c r="G9" s="86" t="s">
        <v>373</v>
      </c>
      <c r="H9" s="86" t="s">
        <v>373</v>
      </c>
      <c r="I9" s="432" t="s">
        <v>373</v>
      </c>
      <c r="J9" s="86" t="s">
        <v>373</v>
      </c>
      <c r="M9" s="19"/>
      <c r="N9" s="19"/>
      <c r="O9" s="19"/>
    </row>
    <row r="10" spans="2:15" ht="15">
      <c r="B10" s="57" t="s">
        <v>28</v>
      </c>
      <c r="C10" s="57" t="s">
        <v>19</v>
      </c>
      <c r="D10" s="57" t="s">
        <v>17</v>
      </c>
      <c r="E10" s="57" t="s">
        <v>18</v>
      </c>
      <c r="F10" s="57" t="s">
        <v>106</v>
      </c>
      <c r="G10" s="441" t="s">
        <v>44</v>
      </c>
      <c r="H10" s="60" t="s">
        <v>49</v>
      </c>
      <c r="I10" s="27" t="s">
        <v>299</v>
      </c>
      <c r="J10" s="86" t="s">
        <v>130</v>
      </c>
      <c r="M10" s="19"/>
      <c r="N10" s="19"/>
      <c r="O10" s="19"/>
    </row>
    <row r="11" spans="2:15" ht="15">
      <c r="B11" s="57" t="s">
        <v>34</v>
      </c>
      <c r="C11" s="57" t="s">
        <v>14</v>
      </c>
      <c r="D11" s="57" t="s">
        <v>20</v>
      </c>
      <c r="E11" s="57" t="s">
        <v>16</v>
      </c>
      <c r="F11" s="57" t="s">
        <v>107</v>
      </c>
      <c r="G11" s="441" t="s">
        <v>45</v>
      </c>
      <c r="H11" s="60" t="s">
        <v>50</v>
      </c>
      <c r="I11" s="27" t="s">
        <v>300</v>
      </c>
      <c r="J11" s="86" t="s">
        <v>131</v>
      </c>
      <c r="M11" s="19"/>
      <c r="N11" s="19"/>
      <c r="O11" s="19"/>
    </row>
    <row r="12" spans="2:15" ht="15">
      <c r="B12" s="57" t="s">
        <v>35</v>
      </c>
      <c r="D12" s="57" t="s">
        <v>23</v>
      </c>
      <c r="E12" s="57" t="s">
        <v>24</v>
      </c>
      <c r="F12" s="57" t="s">
        <v>108</v>
      </c>
      <c r="G12" s="441" t="s">
        <v>46</v>
      </c>
      <c r="H12" s="60" t="s">
        <v>51</v>
      </c>
      <c r="I12" s="27" t="s">
        <v>301</v>
      </c>
      <c r="J12" s="86" t="s">
        <v>132</v>
      </c>
      <c r="M12" s="199"/>
      <c r="N12" s="19"/>
      <c r="O12" s="19"/>
    </row>
    <row r="13" spans="2:15" ht="15">
      <c r="B13" s="57" t="s">
        <v>84</v>
      </c>
      <c r="D13" s="57" t="s">
        <v>25</v>
      </c>
      <c r="E13" s="58"/>
      <c r="F13" s="57" t="s">
        <v>109</v>
      </c>
      <c r="G13" s="441" t="s">
        <v>47</v>
      </c>
      <c r="H13" s="60" t="s">
        <v>52</v>
      </c>
      <c r="I13" s="27" t="s">
        <v>302</v>
      </c>
      <c r="J13" s="86" t="s">
        <v>133</v>
      </c>
      <c r="M13" s="199"/>
      <c r="N13" s="19"/>
      <c r="O13" s="19"/>
    </row>
    <row r="14" spans="2:15" ht="15">
      <c r="B14" s="57" t="s">
        <v>85</v>
      </c>
      <c r="D14" s="57" t="s">
        <v>38</v>
      </c>
      <c r="F14" s="57" t="s">
        <v>120</v>
      </c>
      <c r="G14" s="441" t="s">
        <v>48</v>
      </c>
      <c r="H14" s="60" t="s">
        <v>53</v>
      </c>
      <c r="I14" s="27" t="s">
        <v>271</v>
      </c>
      <c r="J14" s="86" t="s">
        <v>134</v>
      </c>
      <c r="M14" s="199"/>
      <c r="N14" s="19"/>
      <c r="O14" s="19"/>
    </row>
    <row r="15" spans="4:15" ht="15">
      <c r="D15" s="57" t="s">
        <v>39</v>
      </c>
      <c r="F15" s="57" t="s">
        <v>121</v>
      </c>
      <c r="H15" s="60" t="s">
        <v>54</v>
      </c>
      <c r="I15" s="27" t="s">
        <v>71</v>
      </c>
      <c r="J15" s="86" t="s">
        <v>135</v>
      </c>
      <c r="M15" s="199"/>
      <c r="N15" s="19"/>
      <c r="O15" s="19"/>
    </row>
    <row r="16" spans="4:15" ht="15">
      <c r="D16" s="57" t="s">
        <v>40</v>
      </c>
      <c r="F16" s="57" t="s">
        <v>122</v>
      </c>
      <c r="H16" s="60" t="s">
        <v>55</v>
      </c>
      <c r="I16" s="27" t="s">
        <v>72</v>
      </c>
      <c r="J16" s="86" t="s">
        <v>136</v>
      </c>
      <c r="M16" s="199"/>
      <c r="N16" s="19"/>
      <c r="O16" s="19"/>
    </row>
    <row r="17" spans="4:15" ht="15">
      <c r="D17" s="57" t="s">
        <v>41</v>
      </c>
      <c r="F17" s="57" t="s">
        <v>123</v>
      </c>
      <c r="H17" s="60" t="s">
        <v>56</v>
      </c>
      <c r="I17" s="27" t="s">
        <v>73</v>
      </c>
      <c r="J17" s="86" t="s">
        <v>137</v>
      </c>
      <c r="M17" s="199"/>
      <c r="N17" s="19"/>
      <c r="O17" s="19"/>
    </row>
    <row r="18" spans="4:15" ht="15">
      <c r="D18" s="57" t="s">
        <v>15</v>
      </c>
      <c r="F18" s="57" t="s">
        <v>124</v>
      </c>
      <c r="H18" s="60" t="s">
        <v>57</v>
      </c>
      <c r="I18" s="27" t="s">
        <v>74</v>
      </c>
      <c r="J18" s="86" t="s">
        <v>138</v>
      </c>
      <c r="M18" s="199"/>
      <c r="N18" s="19"/>
      <c r="O18" s="19"/>
    </row>
    <row r="19" spans="4:15" ht="15">
      <c r="D19" s="440" t="s">
        <v>369</v>
      </c>
      <c r="F19" s="57" t="s">
        <v>125</v>
      </c>
      <c r="H19" s="60" t="s">
        <v>58</v>
      </c>
      <c r="I19" s="27" t="s">
        <v>75</v>
      </c>
      <c r="J19" s="86" t="s">
        <v>139</v>
      </c>
      <c r="M19" s="199"/>
      <c r="N19" s="19"/>
      <c r="O19" s="19"/>
    </row>
    <row r="20" spans="4:15" ht="15">
      <c r="D20" s="59"/>
      <c r="F20" s="57" t="s">
        <v>126</v>
      </c>
      <c r="H20" s="60" t="s">
        <v>262</v>
      </c>
      <c r="I20" s="27" t="s">
        <v>76</v>
      </c>
      <c r="J20" s="86" t="s">
        <v>140</v>
      </c>
      <c r="M20" s="19"/>
      <c r="N20" s="19"/>
      <c r="O20" s="19"/>
    </row>
    <row r="21" spans="4:15" ht="15">
      <c r="D21" s="61"/>
      <c r="F21" s="57" t="s">
        <v>287</v>
      </c>
      <c r="H21" s="61"/>
      <c r="I21" s="27" t="s">
        <v>78</v>
      </c>
      <c r="J21" s="86" t="s">
        <v>141</v>
      </c>
      <c r="M21" s="19"/>
      <c r="N21" s="19"/>
      <c r="O21" s="19"/>
    </row>
    <row r="22" spans="8:15" ht="15">
      <c r="H22" s="61"/>
      <c r="I22" s="27" t="s">
        <v>79</v>
      </c>
      <c r="J22" s="86" t="s">
        <v>142</v>
      </c>
      <c r="M22" s="19"/>
      <c r="N22" s="19"/>
      <c r="O22" s="19"/>
    </row>
    <row r="23" spans="9:15" ht="15">
      <c r="I23" s="27" t="s">
        <v>77</v>
      </c>
      <c r="J23" s="86" t="s">
        <v>143</v>
      </c>
      <c r="M23" s="19"/>
      <c r="N23" s="19"/>
      <c r="O23" s="19"/>
    </row>
    <row r="24" spans="9:15" ht="15">
      <c r="I24" s="27" t="s">
        <v>310</v>
      </c>
      <c r="J24" s="86" t="s">
        <v>144</v>
      </c>
      <c r="M24" s="19"/>
      <c r="N24" s="19"/>
      <c r="O24" s="19"/>
    </row>
    <row r="25" spans="9:10" ht="15">
      <c r="I25" s="45"/>
      <c r="J25" s="86" t="s">
        <v>145</v>
      </c>
    </row>
    <row r="26" spans="9:10" ht="15">
      <c r="I26" s="27" t="s">
        <v>314</v>
      </c>
      <c r="J26" s="86" t="s">
        <v>146</v>
      </c>
    </row>
    <row r="27" spans="9:10" ht="15">
      <c r="I27" s="27" t="s">
        <v>309</v>
      </c>
      <c r="J27" s="86" t="s">
        <v>147</v>
      </c>
    </row>
    <row r="28" spans="9:10" ht="15">
      <c r="I28" s="45"/>
      <c r="J28" s="86" t="s">
        <v>148</v>
      </c>
    </row>
    <row r="29" spans="9:10" ht="15">
      <c r="I29" s="45"/>
      <c r="J29" s="86" t="s">
        <v>149</v>
      </c>
    </row>
    <row r="30" spans="9:10" ht="15">
      <c r="I30" s="45"/>
      <c r="J30" s="86" t="s">
        <v>150</v>
      </c>
    </row>
    <row r="31" ht="15">
      <c r="J31" s="86" t="s">
        <v>151</v>
      </c>
    </row>
    <row r="32" ht="15">
      <c r="J32" s="86" t="s">
        <v>152</v>
      </c>
    </row>
    <row r="33" ht="15">
      <c r="J33" s="86" t="s">
        <v>153</v>
      </c>
    </row>
    <row r="34" ht="15">
      <c r="J34" s="86" t="s">
        <v>154</v>
      </c>
    </row>
    <row r="35" ht="15">
      <c r="J35" s="86" t="s">
        <v>155</v>
      </c>
    </row>
    <row r="36" ht="15">
      <c r="J36" s="86" t="s">
        <v>155</v>
      </c>
    </row>
    <row r="37" ht="15">
      <c r="J37" s="86" t="s">
        <v>156</v>
      </c>
    </row>
    <row r="38" ht="15">
      <c r="J38" s="86" t="s">
        <v>157</v>
      </c>
    </row>
    <row r="39" ht="15">
      <c r="J39" s="86" t="s">
        <v>158</v>
      </c>
    </row>
    <row r="40" ht="15">
      <c r="J40" s="86" t="s">
        <v>159</v>
      </c>
    </row>
    <row r="41" ht="15">
      <c r="J41" s="86" t="s">
        <v>160</v>
      </c>
    </row>
    <row r="42" ht="15">
      <c r="J42" s="86" t="s">
        <v>161</v>
      </c>
    </row>
    <row r="43" ht="15">
      <c r="J43" s="86" t="s">
        <v>162</v>
      </c>
    </row>
    <row r="44" ht="15">
      <c r="J44" s="86" t="s">
        <v>163</v>
      </c>
    </row>
    <row r="45" ht="15">
      <c r="J45" s="86" t="s">
        <v>164</v>
      </c>
    </row>
    <row r="46" ht="15">
      <c r="J46" s="86" t="s">
        <v>165</v>
      </c>
    </row>
    <row r="47" ht="15">
      <c r="J47" s="86" t="s">
        <v>166</v>
      </c>
    </row>
    <row r="48" ht="15">
      <c r="J48" s="86" t="s">
        <v>167</v>
      </c>
    </row>
    <row r="49" ht="15">
      <c r="J49" s="86" t="s">
        <v>168</v>
      </c>
    </row>
    <row r="50" ht="15">
      <c r="J50" s="86" t="s">
        <v>169</v>
      </c>
    </row>
    <row r="51" ht="15">
      <c r="J51" s="86" t="s">
        <v>170</v>
      </c>
    </row>
    <row r="52" ht="15">
      <c r="J52" s="86" t="s">
        <v>171</v>
      </c>
    </row>
    <row r="53" ht="15">
      <c r="J53" s="86" t="s">
        <v>172</v>
      </c>
    </row>
    <row r="54" ht="15">
      <c r="J54" s="86" t="s">
        <v>173</v>
      </c>
    </row>
    <row r="55" ht="15">
      <c r="J55" s="86" t="s">
        <v>174</v>
      </c>
    </row>
    <row r="56" ht="15">
      <c r="J56" s="86" t="s">
        <v>175</v>
      </c>
    </row>
    <row r="57" ht="15">
      <c r="J57" s="86" t="s">
        <v>176</v>
      </c>
    </row>
    <row r="58" ht="15">
      <c r="J58" s="86" t="s">
        <v>177</v>
      </c>
    </row>
    <row r="59" ht="15">
      <c r="J59" s="86" t="s">
        <v>178</v>
      </c>
    </row>
    <row r="60" ht="15">
      <c r="J60" s="86" t="s">
        <v>179</v>
      </c>
    </row>
    <row r="61" ht="15">
      <c r="J61" s="86" t="s">
        <v>180</v>
      </c>
    </row>
    <row r="62" ht="15">
      <c r="J62" s="86" t="s">
        <v>181</v>
      </c>
    </row>
    <row r="63" ht="15">
      <c r="J63" s="86" t="s">
        <v>182</v>
      </c>
    </row>
    <row r="64" ht="15">
      <c r="J64" s="86" t="s">
        <v>183</v>
      </c>
    </row>
    <row r="65" ht="15">
      <c r="J65" s="86" t="s">
        <v>184</v>
      </c>
    </row>
    <row r="66" ht="15">
      <c r="J66" s="86" t="s">
        <v>185</v>
      </c>
    </row>
    <row r="67" ht="15">
      <c r="J67" s="86" t="s">
        <v>186</v>
      </c>
    </row>
    <row r="68" ht="15">
      <c r="J68" s="86" t="s">
        <v>187</v>
      </c>
    </row>
    <row r="69" ht="15">
      <c r="J69" s="86" t="s">
        <v>188</v>
      </c>
    </row>
    <row r="70" ht="15">
      <c r="J70" s="86" t="s">
        <v>189</v>
      </c>
    </row>
    <row r="71" ht="15">
      <c r="J71" s="86" t="s">
        <v>190</v>
      </c>
    </row>
    <row r="72" ht="15">
      <c r="J72" s="86" t="s">
        <v>191</v>
      </c>
    </row>
    <row r="73" ht="15">
      <c r="J73" s="86" t="s">
        <v>192</v>
      </c>
    </row>
    <row r="74" ht="15">
      <c r="J74" s="86" t="s">
        <v>193</v>
      </c>
    </row>
    <row r="75" ht="15">
      <c r="J75" s="86" t="s">
        <v>194</v>
      </c>
    </row>
    <row r="76" ht="15">
      <c r="J76" s="86" t="s">
        <v>195</v>
      </c>
    </row>
    <row r="77" ht="15">
      <c r="J77" s="86" t="s">
        <v>196</v>
      </c>
    </row>
    <row r="78" ht="15">
      <c r="J78" s="86" t="s">
        <v>197</v>
      </c>
    </row>
    <row r="79" ht="15">
      <c r="J79" s="86" t="s">
        <v>198</v>
      </c>
    </row>
    <row r="80" ht="15">
      <c r="J80" s="86" t="s">
        <v>199</v>
      </c>
    </row>
    <row r="81" ht="15">
      <c r="J81" s="86" t="s">
        <v>200</v>
      </c>
    </row>
    <row r="82" ht="15">
      <c r="J82" s="86" t="s">
        <v>201</v>
      </c>
    </row>
    <row r="83" ht="15">
      <c r="J83" s="86" t="s">
        <v>202</v>
      </c>
    </row>
    <row r="84" ht="15">
      <c r="J84" s="86" t="s">
        <v>203</v>
      </c>
    </row>
    <row r="85" ht="15">
      <c r="J85" s="86" t="s">
        <v>204</v>
      </c>
    </row>
    <row r="86" ht="15">
      <c r="J86" s="86" t="s">
        <v>205</v>
      </c>
    </row>
    <row r="87" ht="15">
      <c r="J87" s="86" t="s">
        <v>206</v>
      </c>
    </row>
    <row r="88" ht="15">
      <c r="J88" s="86" t="s">
        <v>207</v>
      </c>
    </row>
    <row r="89" ht="15">
      <c r="J89" s="86" t="s">
        <v>208</v>
      </c>
    </row>
    <row r="90" ht="15">
      <c r="J90" s="86" t="s">
        <v>209</v>
      </c>
    </row>
    <row r="91" ht="15">
      <c r="J91" s="86" t="s">
        <v>210</v>
      </c>
    </row>
    <row r="92" ht="15">
      <c r="J92" s="86" t="s">
        <v>211</v>
      </c>
    </row>
    <row r="93" ht="15">
      <c r="J93" s="86" t="s">
        <v>212</v>
      </c>
    </row>
    <row r="94" ht="15">
      <c r="J94" s="86" t="s">
        <v>213</v>
      </c>
    </row>
    <row r="95" ht="15">
      <c r="J95" s="86" t="s">
        <v>214</v>
      </c>
    </row>
    <row r="96" ht="15">
      <c r="J96" s="86" t="s">
        <v>215</v>
      </c>
    </row>
    <row r="97" ht="15">
      <c r="J97" s="86" t="s">
        <v>216</v>
      </c>
    </row>
    <row r="98" ht="15">
      <c r="J98" s="86" t="s">
        <v>217</v>
      </c>
    </row>
    <row r="99" ht="15">
      <c r="J99" s="86" t="s">
        <v>218</v>
      </c>
    </row>
    <row r="100" ht="15">
      <c r="J100" s="86" t="s">
        <v>219</v>
      </c>
    </row>
    <row r="101" ht="15">
      <c r="J101" s="86" t="s">
        <v>220</v>
      </c>
    </row>
    <row r="102" ht="15">
      <c r="J102" s="86" t="s">
        <v>221</v>
      </c>
    </row>
    <row r="103" ht="15">
      <c r="J103" s="86" t="s">
        <v>222</v>
      </c>
    </row>
    <row r="104" ht="15">
      <c r="J104" s="86" t="s">
        <v>223</v>
      </c>
    </row>
    <row r="105" ht="15">
      <c r="J105" s="86" t="s">
        <v>224</v>
      </c>
    </row>
    <row r="106" ht="15">
      <c r="J106" s="86" t="s">
        <v>225</v>
      </c>
    </row>
    <row r="107" ht="15">
      <c r="J107" s="86" t="s">
        <v>226</v>
      </c>
    </row>
    <row r="108" ht="15">
      <c r="J108" s="86" t="s">
        <v>227</v>
      </c>
    </row>
    <row r="109" ht="15">
      <c r="J109" s="86" t="s">
        <v>228</v>
      </c>
    </row>
    <row r="110" ht="15">
      <c r="J110" s="86" t="s">
        <v>229</v>
      </c>
    </row>
    <row r="111" ht="15">
      <c r="J111" s="86" t="s">
        <v>81</v>
      </c>
    </row>
    <row r="112" ht="15">
      <c r="J112" s="86" t="s">
        <v>230</v>
      </c>
    </row>
    <row r="113" ht="15">
      <c r="J113" s="86" t="s">
        <v>231</v>
      </c>
    </row>
    <row r="114" ht="15">
      <c r="J114" s="86" t="s">
        <v>232</v>
      </c>
    </row>
    <row r="115" ht="15">
      <c r="J115" s="86" t="s">
        <v>233</v>
      </c>
    </row>
    <row r="116" ht="15">
      <c r="J116" s="86" t="s">
        <v>234</v>
      </c>
    </row>
    <row r="117" ht="15">
      <c r="J117" s="86" t="s">
        <v>235</v>
      </c>
    </row>
    <row r="118" ht="15">
      <c r="J118" s="86" t="s">
        <v>236</v>
      </c>
    </row>
    <row r="119" ht="15">
      <c r="J119" s="86" t="s">
        <v>237</v>
      </c>
    </row>
    <row r="120" ht="15">
      <c r="J120" s="86" t="s">
        <v>238</v>
      </c>
    </row>
    <row r="121" ht="15">
      <c r="J121" s="86" t="s">
        <v>239</v>
      </c>
    </row>
    <row r="122" ht="15">
      <c r="J122" s="86" t="s">
        <v>240</v>
      </c>
    </row>
    <row r="123" ht="15">
      <c r="J123" s="86" t="s">
        <v>241</v>
      </c>
    </row>
    <row r="124" ht="15">
      <c r="J124" s="86" t="s">
        <v>242</v>
      </c>
    </row>
    <row r="125" ht="15">
      <c r="J125" s="86" t="s">
        <v>243</v>
      </c>
    </row>
    <row r="126" ht="15">
      <c r="J126" s="86" t="s">
        <v>244</v>
      </c>
    </row>
    <row r="127" ht="15">
      <c r="J127" s="86" t="s">
        <v>245</v>
      </c>
    </row>
    <row r="128" ht="15">
      <c r="J128" s="86" t="s">
        <v>246</v>
      </c>
    </row>
    <row r="129" ht="15">
      <c r="J129" s="86" t="s">
        <v>247</v>
      </c>
    </row>
    <row r="130" ht="15">
      <c r="J130" s="86" t="s">
        <v>248</v>
      </c>
    </row>
    <row r="131" ht="15">
      <c r="J131" s="86" t="s">
        <v>249</v>
      </c>
    </row>
    <row r="132" ht="15">
      <c r="J132" s="86" t="s">
        <v>250</v>
      </c>
    </row>
    <row r="133" ht="15">
      <c r="J133" s="86" t="s">
        <v>251</v>
      </c>
    </row>
    <row r="134" ht="15">
      <c r="J134" s="86" t="s">
        <v>252</v>
      </c>
    </row>
    <row r="135" ht="15">
      <c r="J135" s="86" t="s">
        <v>253</v>
      </c>
    </row>
    <row r="136" ht="15">
      <c r="J136" s="86" t="s">
        <v>254</v>
      </c>
    </row>
    <row r="137" ht="15">
      <c r="J137" s="86" t="s">
        <v>255</v>
      </c>
    </row>
    <row r="138" ht="15">
      <c r="J138" s="86" t="s">
        <v>256</v>
      </c>
    </row>
    <row r="139" ht="15">
      <c r="J139" s="86" t="s">
        <v>257</v>
      </c>
    </row>
    <row r="140" ht="15">
      <c r="J140" s="86" t="s">
        <v>258</v>
      </c>
    </row>
    <row r="141" ht="15">
      <c r="J141" s="86" t="s">
        <v>259</v>
      </c>
    </row>
    <row r="142" ht="15">
      <c r="J142" s="86" t="s">
        <v>260</v>
      </c>
    </row>
    <row r="143" ht="15">
      <c r="J143" s="86" t="s">
        <v>261</v>
      </c>
    </row>
    <row r="144" ht="15">
      <c r="J144" s="430"/>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45" activePane="bottomLeft" state="frozen"/>
      <selection pane="topLeft" activeCell="E22" sqref="E22"/>
      <selection pane="bottomLeft" activeCell="G54" sqref="G54"/>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25" t="str">
        <f>+"Dashboard: "&amp;" "&amp;+IF('Data Entry'!C4="Please Select","",'Data Entry'!C4&amp;" - ")&amp;+IF('Data Entry'!G6="Please Select","",'Data Entry'!G6)</f>
        <v>Dashboard:  Ghana - TB</v>
      </c>
      <c r="C2" s="525"/>
      <c r="D2" s="525"/>
      <c r="E2" s="525"/>
      <c r="F2" s="525"/>
      <c r="G2" s="525"/>
      <c r="H2" s="525"/>
      <c r="I2" s="525"/>
      <c r="J2" s="525"/>
      <c r="K2" s="525"/>
      <c r="L2" s="525"/>
      <c r="M2" s="525"/>
    </row>
    <row r="3" spans="1:13" ht="15.75" customHeight="1">
      <c r="A3" s="3"/>
      <c r="B3" s="224"/>
      <c r="C3" s="224"/>
      <c r="D3" s="224"/>
      <c r="E3" s="224"/>
      <c r="F3" s="224"/>
      <c r="G3" s="224"/>
      <c r="H3" s="224"/>
      <c r="I3" s="224"/>
      <c r="J3" s="224"/>
      <c r="K3" s="225"/>
      <c r="L3" s="225"/>
      <c r="M3" s="3"/>
    </row>
    <row r="5" spans="2:15" ht="23.25">
      <c r="B5" s="526" t="s">
        <v>283</v>
      </c>
      <c r="C5" s="526"/>
      <c r="D5" s="526"/>
      <c r="E5" s="526"/>
      <c r="F5" s="526"/>
      <c r="G5" s="526"/>
      <c r="H5" s="526"/>
      <c r="I5" s="526"/>
      <c r="J5" s="526"/>
      <c r="K5" s="526"/>
      <c r="L5" s="526"/>
      <c r="M5" s="526"/>
      <c r="N5" s="526"/>
      <c r="O5" s="526"/>
    </row>
    <row r="7" spans="2:15" ht="21">
      <c r="B7" s="517" t="s">
        <v>272</v>
      </c>
      <c r="C7" s="518"/>
      <c r="D7" s="519"/>
      <c r="E7" s="517" t="s">
        <v>273</v>
      </c>
      <c r="F7" s="518"/>
      <c r="G7" s="518"/>
      <c r="H7" s="518"/>
      <c r="I7" s="519"/>
      <c r="J7" s="517" t="s">
        <v>274</v>
      </c>
      <c r="K7" s="518"/>
      <c r="L7" s="519"/>
      <c r="M7" s="517" t="s">
        <v>347</v>
      </c>
      <c r="N7" s="518"/>
      <c r="O7" s="519"/>
    </row>
    <row r="8" spans="2:15" ht="92.25" customHeight="1">
      <c r="B8" s="520" t="str">
        <f>+'Data Entry'!B27</f>
        <v>F1: Budget and disbursements by Global Fund</v>
      </c>
      <c r="C8" s="521"/>
      <c r="D8" s="522"/>
      <c r="E8" s="527" t="s">
        <v>394</v>
      </c>
      <c r="F8" s="528"/>
      <c r="G8" s="528"/>
      <c r="H8" s="528"/>
      <c r="I8" s="529"/>
      <c r="J8" s="514" t="s">
        <v>348</v>
      </c>
      <c r="K8" s="515"/>
      <c r="L8" s="516"/>
      <c r="M8" s="514" t="s">
        <v>395</v>
      </c>
      <c r="N8" s="515"/>
      <c r="O8" s="516"/>
    </row>
    <row r="9" spans="2:15" ht="117.75" customHeight="1">
      <c r="B9" s="520" t="str">
        <f>+'Data Entry'!B36</f>
        <v>F2: Budget and actual expenditures by Grant Objective</v>
      </c>
      <c r="C9" s="521"/>
      <c r="D9" s="522"/>
      <c r="E9" s="511" t="s">
        <v>356</v>
      </c>
      <c r="F9" s="512"/>
      <c r="G9" s="512"/>
      <c r="H9" s="512"/>
      <c r="I9" s="513"/>
      <c r="J9" s="514" t="s">
        <v>350</v>
      </c>
      <c r="K9" s="515"/>
      <c r="L9" s="516"/>
      <c r="M9" s="514" t="s">
        <v>395</v>
      </c>
      <c r="N9" s="515"/>
      <c r="O9" s="516"/>
    </row>
    <row r="10" spans="2:15" ht="152.25" customHeight="1">
      <c r="B10" s="530" t="str">
        <f>+'Data Entry'!B49</f>
        <v>F3: Disbursements and expenditures</v>
      </c>
      <c r="C10" s="533"/>
      <c r="D10" s="534"/>
      <c r="E10" s="511" t="s">
        <v>396</v>
      </c>
      <c r="F10" s="512"/>
      <c r="G10" s="512"/>
      <c r="H10" s="512"/>
      <c r="I10" s="513"/>
      <c r="J10" s="514" t="s">
        <v>357</v>
      </c>
      <c r="K10" s="515"/>
      <c r="L10" s="516"/>
      <c r="M10" s="514" t="s">
        <v>349</v>
      </c>
      <c r="N10" s="515"/>
      <c r="O10" s="516"/>
    </row>
    <row r="11" spans="2:15" ht="279.75" customHeight="1">
      <c r="B11" s="530" t="str">
        <f>+'Data Entry'!B58</f>
        <v>F4: Latest PR reporting and disbursement cycle</v>
      </c>
      <c r="C11" s="531"/>
      <c r="D11" s="532"/>
      <c r="E11" s="511" t="s">
        <v>408</v>
      </c>
      <c r="F11" s="512"/>
      <c r="G11" s="512"/>
      <c r="H11" s="512"/>
      <c r="I11" s="513"/>
      <c r="J11" s="514" t="s">
        <v>358</v>
      </c>
      <c r="K11" s="515"/>
      <c r="L11" s="516"/>
      <c r="M11" s="514" t="s">
        <v>277</v>
      </c>
      <c r="N11" s="515"/>
      <c r="O11" s="516"/>
    </row>
    <row r="12" spans="2:15" s="19" customFormat="1" ht="15">
      <c r="B12" s="535"/>
      <c r="C12" s="535"/>
      <c r="D12" s="535"/>
      <c r="E12" s="536"/>
      <c r="F12" s="536"/>
      <c r="G12" s="536"/>
      <c r="H12" s="536"/>
      <c r="I12" s="536"/>
      <c r="J12" s="536"/>
      <c r="K12" s="536"/>
      <c r="L12" s="536"/>
      <c r="M12" s="536"/>
      <c r="N12" s="536"/>
      <c r="O12" s="536"/>
    </row>
    <row r="13" spans="2:15" s="19" customFormat="1" ht="15">
      <c r="B13" s="541"/>
      <c r="C13" s="541"/>
      <c r="D13" s="541"/>
      <c r="E13" s="537"/>
      <c r="F13" s="537"/>
      <c r="G13" s="537"/>
      <c r="H13" s="537"/>
      <c r="I13" s="537"/>
      <c r="J13" s="537"/>
      <c r="K13" s="537"/>
      <c r="L13" s="537"/>
      <c r="M13" s="537"/>
      <c r="N13" s="537"/>
      <c r="O13" s="537"/>
    </row>
    <row r="14" spans="2:15" s="19" customFormat="1" ht="15">
      <c r="B14" s="541"/>
      <c r="C14" s="541"/>
      <c r="D14" s="541"/>
      <c r="E14" s="537"/>
      <c r="F14" s="537"/>
      <c r="G14" s="537"/>
      <c r="H14" s="537"/>
      <c r="I14" s="537"/>
      <c r="J14" s="537"/>
      <c r="K14" s="537"/>
      <c r="L14" s="537"/>
      <c r="M14" s="537"/>
      <c r="N14" s="537"/>
      <c r="O14" s="537"/>
    </row>
    <row r="15" spans="2:15" s="19" customFormat="1" ht="15">
      <c r="B15" s="541"/>
      <c r="C15" s="541"/>
      <c r="D15" s="541"/>
      <c r="E15" s="537"/>
      <c r="F15" s="537"/>
      <c r="G15" s="537"/>
      <c r="H15" s="537"/>
      <c r="I15" s="537"/>
      <c r="J15" s="537"/>
      <c r="K15" s="537"/>
      <c r="L15" s="537"/>
      <c r="M15" s="537"/>
      <c r="N15" s="537"/>
      <c r="O15" s="537"/>
    </row>
    <row r="16" spans="2:15" ht="23.25">
      <c r="B16" s="526" t="s">
        <v>284</v>
      </c>
      <c r="C16" s="526"/>
      <c r="D16" s="526"/>
      <c r="E16" s="526"/>
      <c r="F16" s="526"/>
      <c r="G16" s="526"/>
      <c r="H16" s="526"/>
      <c r="I16" s="526"/>
      <c r="J16" s="526"/>
      <c r="K16" s="526"/>
      <c r="L16" s="526"/>
      <c r="M16" s="526"/>
      <c r="N16" s="526"/>
      <c r="O16" s="526"/>
    </row>
    <row r="18" spans="2:15" ht="21">
      <c r="B18" s="538" t="s">
        <v>272</v>
      </c>
      <c r="C18" s="539"/>
      <c r="D18" s="540"/>
      <c r="E18" s="538" t="s">
        <v>273</v>
      </c>
      <c r="F18" s="539"/>
      <c r="G18" s="539"/>
      <c r="H18" s="539"/>
      <c r="I18" s="540"/>
      <c r="J18" s="538" t="s">
        <v>274</v>
      </c>
      <c r="K18" s="539"/>
      <c r="L18" s="540"/>
      <c r="M18" s="538" t="s">
        <v>275</v>
      </c>
      <c r="N18" s="539"/>
      <c r="O18" s="540"/>
    </row>
    <row r="19" spans="2:15" ht="114" customHeight="1">
      <c r="B19" s="520" t="str">
        <f>+'Data Entry'!B69</f>
        <v>M1: Status of Conditions Precedent (CPs) and Time Bound Actions (TBAs)</v>
      </c>
      <c r="C19" s="523"/>
      <c r="D19" s="524"/>
      <c r="E19" s="511" t="s">
        <v>282</v>
      </c>
      <c r="F19" s="512"/>
      <c r="G19" s="512"/>
      <c r="H19" s="512"/>
      <c r="I19" s="513"/>
      <c r="J19" s="514" t="s">
        <v>351</v>
      </c>
      <c r="K19" s="515"/>
      <c r="L19" s="516"/>
      <c r="M19" s="514" t="s">
        <v>352</v>
      </c>
      <c r="N19" s="515"/>
      <c r="O19" s="516"/>
    </row>
    <row r="20" spans="2:15" ht="102.75" customHeight="1">
      <c r="B20" s="520" t="str">
        <f>+'Data Entry'!B76</f>
        <v>M2: Status of key PR management positions</v>
      </c>
      <c r="C20" s="523"/>
      <c r="D20" s="524"/>
      <c r="E20" s="511" t="s">
        <v>397</v>
      </c>
      <c r="F20" s="512"/>
      <c r="G20" s="512"/>
      <c r="H20" s="512"/>
      <c r="I20" s="513"/>
      <c r="J20" s="514" t="s">
        <v>279</v>
      </c>
      <c r="K20" s="515"/>
      <c r="L20" s="516"/>
      <c r="M20" s="514" t="s">
        <v>278</v>
      </c>
      <c r="N20" s="515"/>
      <c r="O20" s="516"/>
    </row>
    <row r="21" spans="2:15" ht="111.75" customHeight="1">
      <c r="B21" s="520" t="str">
        <f>+'Data Entry'!B81</f>
        <v>M3: Contractual arrangements (SRs) </v>
      </c>
      <c r="C21" s="523"/>
      <c r="D21" s="524"/>
      <c r="E21" s="587" t="s">
        <v>0</v>
      </c>
      <c r="F21" s="512"/>
      <c r="G21" s="512"/>
      <c r="H21" s="512"/>
      <c r="I21" s="513"/>
      <c r="J21" s="514" t="s">
        <v>353</v>
      </c>
      <c r="K21" s="515"/>
      <c r="L21" s="516"/>
      <c r="M21" s="514" t="s">
        <v>354</v>
      </c>
      <c r="N21" s="515"/>
      <c r="O21" s="516"/>
    </row>
    <row r="22" spans="2:15" ht="74.25" customHeight="1">
      <c r="B22" s="520" t="str">
        <f>+'Data Entry'!B86</f>
        <v>M4: Number of complete reports received on time</v>
      </c>
      <c r="C22" s="523"/>
      <c r="D22" s="524"/>
      <c r="E22" s="587" t="s">
        <v>409</v>
      </c>
      <c r="F22" s="594"/>
      <c r="G22" s="594"/>
      <c r="H22" s="594"/>
      <c r="I22" s="595"/>
      <c r="J22" s="514" t="s">
        <v>359</v>
      </c>
      <c r="K22" s="515"/>
      <c r="L22" s="516"/>
      <c r="M22" s="514" t="s">
        <v>280</v>
      </c>
      <c r="N22" s="515"/>
      <c r="O22" s="516"/>
    </row>
    <row r="23" spans="2:15" ht="207.75" customHeight="1">
      <c r="B23" s="588" t="str">
        <f>+'Data Entry'!B92</f>
        <v>M5: Budget and Procurement of health products, health equipment, medicines and pharmaceuticals</v>
      </c>
      <c r="C23" s="589"/>
      <c r="D23" s="590"/>
      <c r="E23" s="575" t="s">
        <v>360</v>
      </c>
      <c r="F23" s="576"/>
      <c r="G23" s="576"/>
      <c r="H23" s="576"/>
      <c r="I23" s="577"/>
      <c r="J23" s="566" t="s">
        <v>276</v>
      </c>
      <c r="K23" s="567"/>
      <c r="L23" s="568"/>
      <c r="M23" s="566" t="s">
        <v>281</v>
      </c>
      <c r="N23" s="567"/>
      <c r="O23" s="568"/>
    </row>
    <row r="24" spans="2:15" ht="114.75" customHeight="1">
      <c r="B24" s="591"/>
      <c r="C24" s="592"/>
      <c r="D24" s="593"/>
      <c r="E24" s="578" t="s">
        <v>355</v>
      </c>
      <c r="F24" s="579"/>
      <c r="G24" s="579"/>
      <c r="H24" s="579"/>
      <c r="I24" s="580"/>
      <c r="J24" s="569"/>
      <c r="K24" s="570"/>
      <c r="L24" s="571"/>
      <c r="M24" s="569"/>
      <c r="N24" s="570"/>
      <c r="O24" s="571"/>
    </row>
    <row r="25" spans="2:15" ht="409.5" customHeight="1">
      <c r="B25" s="520" t="str">
        <f>+'Data Entry'!B105</f>
        <v>M6: Difference between current and safety stock</v>
      </c>
      <c r="C25" s="523"/>
      <c r="D25" s="524"/>
      <c r="E25" s="584" t="s">
        <v>410</v>
      </c>
      <c r="F25" s="585"/>
      <c r="G25" s="585"/>
      <c r="H25" s="585"/>
      <c r="I25" s="586"/>
      <c r="J25" s="563" t="s">
        <v>361</v>
      </c>
      <c r="K25" s="564"/>
      <c r="L25" s="565"/>
      <c r="M25" s="560" t="s">
        <v>366</v>
      </c>
      <c r="N25" s="561"/>
      <c r="O25" s="562"/>
    </row>
    <row r="29" ht="18.75">
      <c r="B29" s="259"/>
    </row>
    <row r="30" spans="2:15" ht="23.25">
      <c r="B30" s="526" t="s">
        <v>297</v>
      </c>
      <c r="C30" s="526"/>
      <c r="D30" s="526"/>
      <c r="E30" s="526"/>
      <c r="F30" s="526"/>
      <c r="G30" s="526"/>
      <c r="H30" s="526"/>
      <c r="I30" s="526"/>
      <c r="J30" s="526"/>
      <c r="K30" s="526"/>
      <c r="L30" s="526"/>
      <c r="M30" s="526"/>
      <c r="N30" s="526"/>
      <c r="O30" s="526"/>
    </row>
    <row r="32" spans="1:15" ht="28.5" customHeight="1">
      <c r="A32" s="250"/>
      <c r="B32" s="545" t="s">
        <v>345</v>
      </c>
      <c r="C32" s="546"/>
      <c r="D32" s="547"/>
      <c r="E32" s="548" t="s">
        <v>303</v>
      </c>
      <c r="F32" s="549"/>
      <c r="G32" s="549"/>
      <c r="H32" s="549"/>
      <c r="I32" s="550"/>
      <c r="J32" s="548" t="s">
        <v>274</v>
      </c>
      <c r="K32" s="549"/>
      <c r="L32" s="550"/>
      <c r="M32" s="548" t="s">
        <v>275</v>
      </c>
      <c r="N32" s="549"/>
      <c r="O32" s="550"/>
    </row>
    <row r="33" spans="1:15" ht="47.25" customHeight="1">
      <c r="A33" s="251"/>
      <c r="B33" s="596"/>
      <c r="C33" s="597"/>
      <c r="D33" s="598"/>
      <c r="E33" s="581"/>
      <c r="F33" s="582"/>
      <c r="G33" s="582"/>
      <c r="H33" s="582"/>
      <c r="I33" s="583"/>
      <c r="J33" s="572"/>
      <c r="K33" s="573"/>
      <c r="L33" s="574"/>
      <c r="M33" s="572"/>
      <c r="N33" s="573"/>
      <c r="O33" s="574"/>
    </row>
    <row r="34" spans="1:15" ht="59.25" customHeight="1">
      <c r="A34" s="251"/>
      <c r="B34" s="596"/>
      <c r="C34" s="597"/>
      <c r="D34" s="598"/>
      <c r="E34" s="581"/>
      <c r="F34" s="582"/>
      <c r="G34" s="582"/>
      <c r="H34" s="582"/>
      <c r="I34" s="583"/>
      <c r="J34" s="572"/>
      <c r="K34" s="573"/>
      <c r="L34" s="574"/>
      <c r="M34" s="572"/>
      <c r="N34" s="573"/>
      <c r="O34" s="574"/>
    </row>
    <row r="35" spans="1:15" ht="57.75" customHeight="1">
      <c r="A35" s="251"/>
      <c r="B35" s="596"/>
      <c r="C35" s="597"/>
      <c r="D35" s="598"/>
      <c r="E35" s="572"/>
      <c r="F35" s="573"/>
      <c r="G35" s="573"/>
      <c r="H35" s="573"/>
      <c r="I35" s="574"/>
      <c r="J35" s="572"/>
      <c r="K35" s="573"/>
      <c r="L35" s="574"/>
      <c r="M35" s="572"/>
      <c r="N35" s="573"/>
      <c r="O35" s="574"/>
    </row>
    <row r="36" spans="1:15" ht="9.75" customHeight="1">
      <c r="A36" s="251"/>
      <c r="B36" s="599"/>
      <c r="C36" s="600"/>
      <c r="D36" s="601"/>
      <c r="E36" s="252"/>
      <c r="F36" s="253"/>
      <c r="G36" s="253"/>
      <c r="H36" s="253"/>
      <c r="I36" s="254"/>
      <c r="J36" s="272"/>
      <c r="K36" s="273"/>
      <c r="L36" s="274"/>
      <c r="M36" s="272"/>
      <c r="N36" s="273"/>
      <c r="O36" s="274"/>
    </row>
    <row r="37" spans="1:15" ht="46.5" customHeight="1">
      <c r="A37" s="251"/>
      <c r="B37" s="596"/>
      <c r="C37" s="597"/>
      <c r="D37" s="598"/>
      <c r="E37" s="572"/>
      <c r="F37" s="602"/>
      <c r="G37" s="602"/>
      <c r="H37" s="602"/>
      <c r="I37" s="603"/>
      <c r="J37" s="267"/>
      <c r="K37" s="268"/>
      <c r="L37" s="269"/>
      <c r="M37" s="267"/>
      <c r="N37" s="268"/>
      <c r="O37" s="269"/>
    </row>
    <row r="38" spans="1:15" ht="69" customHeight="1">
      <c r="A38" s="251"/>
      <c r="B38" s="596"/>
      <c r="C38" s="597"/>
      <c r="D38" s="598"/>
      <c r="E38" s="581"/>
      <c r="F38" s="582"/>
      <c r="G38" s="582"/>
      <c r="H38" s="582"/>
      <c r="I38" s="583"/>
      <c r="J38" s="572"/>
      <c r="K38" s="573"/>
      <c r="L38" s="574"/>
      <c r="M38" s="572"/>
      <c r="N38" s="573"/>
      <c r="O38" s="574"/>
    </row>
    <row r="39" spans="1:15" ht="64.5" customHeight="1">
      <c r="A39" s="251"/>
      <c r="B39" s="596"/>
      <c r="C39" s="597"/>
      <c r="D39" s="598"/>
      <c r="E39" s="572"/>
      <c r="F39" s="573"/>
      <c r="G39" s="573"/>
      <c r="H39" s="573"/>
      <c r="I39" s="574"/>
      <c r="J39" s="267"/>
      <c r="K39" s="268"/>
      <c r="L39" s="269"/>
      <c r="M39" s="267"/>
      <c r="N39" s="268"/>
      <c r="O39" s="269"/>
    </row>
    <row r="40" spans="1:15" ht="45" customHeight="1">
      <c r="A40" s="251"/>
      <c r="B40" s="610"/>
      <c r="C40" s="611"/>
      <c r="D40" s="612"/>
      <c r="E40" s="607"/>
      <c r="F40" s="608"/>
      <c r="G40" s="608"/>
      <c r="H40" s="608"/>
      <c r="I40" s="609"/>
      <c r="J40" s="572"/>
      <c r="K40" s="573"/>
      <c r="L40" s="574"/>
      <c r="M40" s="572"/>
      <c r="N40" s="573"/>
      <c r="O40" s="574"/>
    </row>
    <row r="41" spans="1:15" ht="62.25" customHeight="1">
      <c r="A41" s="251"/>
      <c r="B41" s="604"/>
      <c r="C41" s="605"/>
      <c r="D41" s="606"/>
      <c r="E41" s="581"/>
      <c r="F41" s="582"/>
      <c r="G41" s="582"/>
      <c r="H41" s="582"/>
      <c r="I41" s="583"/>
      <c r="J41" s="572"/>
      <c r="K41" s="573"/>
      <c r="L41" s="574"/>
      <c r="M41" s="572"/>
      <c r="N41" s="573"/>
      <c r="O41" s="574"/>
    </row>
    <row r="42" spans="1:15" ht="84" customHeight="1">
      <c r="A42" s="251"/>
      <c r="B42" s="604"/>
      <c r="C42" s="605"/>
      <c r="D42" s="606"/>
      <c r="E42" s="572"/>
      <c r="F42" s="573"/>
      <c r="G42" s="573"/>
      <c r="H42" s="573"/>
      <c r="I42" s="574"/>
      <c r="J42" s="267"/>
      <c r="K42" s="268"/>
      <c r="L42" s="269"/>
      <c r="M42" s="267"/>
      <c r="N42" s="268"/>
      <c r="O42" s="269"/>
    </row>
    <row r="43" spans="1:15" ht="45" customHeight="1">
      <c r="A43" s="251"/>
      <c r="B43" s="604"/>
      <c r="C43" s="605"/>
      <c r="D43" s="606"/>
      <c r="E43" s="581"/>
      <c r="F43" s="582"/>
      <c r="G43" s="582"/>
      <c r="H43" s="582"/>
      <c r="I43" s="583"/>
      <c r="J43" s="572"/>
      <c r="K43" s="573"/>
      <c r="L43" s="574"/>
      <c r="M43" s="267"/>
      <c r="N43" s="268"/>
      <c r="O43" s="269"/>
    </row>
    <row r="44" spans="1:15" ht="64.5" customHeight="1">
      <c r="A44" s="251"/>
      <c r="B44" s="610"/>
      <c r="C44" s="611"/>
      <c r="D44" s="612"/>
      <c r="E44" s="581"/>
      <c r="F44" s="582"/>
      <c r="G44" s="582"/>
      <c r="H44" s="582"/>
      <c r="I44" s="583"/>
      <c r="J44" s="572"/>
      <c r="K44" s="573"/>
      <c r="L44" s="574"/>
      <c r="M44" s="267"/>
      <c r="N44" s="268"/>
      <c r="O44" s="269"/>
    </row>
    <row r="45" spans="2:15" ht="49.5" customHeight="1">
      <c r="B45" s="610"/>
      <c r="C45" s="611"/>
      <c r="D45" s="612"/>
      <c r="E45" s="581"/>
      <c r="F45" s="582"/>
      <c r="G45" s="582"/>
      <c r="H45" s="582"/>
      <c r="I45" s="583"/>
      <c r="J45" s="572"/>
      <c r="K45" s="573"/>
      <c r="L45" s="574"/>
      <c r="M45" s="267"/>
      <c r="N45" s="268"/>
      <c r="O45" s="269"/>
    </row>
    <row r="46" spans="2:15" ht="30" customHeight="1">
      <c r="B46" s="613"/>
      <c r="C46" s="614"/>
      <c r="D46" s="615"/>
      <c r="E46" s="255"/>
      <c r="F46" s="256"/>
      <c r="G46" s="256"/>
      <c r="H46" s="256"/>
      <c r="I46" s="257"/>
      <c r="J46" s="267"/>
      <c r="K46" s="268"/>
      <c r="L46" s="269"/>
      <c r="M46" s="267"/>
      <c r="N46" s="268"/>
      <c r="O46" s="269"/>
    </row>
    <row r="47" spans="2:15" ht="44.25" customHeight="1">
      <c r="B47" s="554" t="s">
        <v>298</v>
      </c>
      <c r="C47" s="555"/>
      <c r="D47" s="556"/>
      <c r="E47" s="557" t="s">
        <v>273</v>
      </c>
      <c r="F47" s="558"/>
      <c r="G47" s="558"/>
      <c r="H47" s="558"/>
      <c r="I47" s="559"/>
      <c r="J47" s="557" t="s">
        <v>274</v>
      </c>
      <c r="K47" s="558"/>
      <c r="L47" s="559"/>
      <c r="M47" s="557" t="s">
        <v>275</v>
      </c>
      <c r="N47" s="558"/>
      <c r="O47" s="559"/>
    </row>
    <row r="48" spans="2:15" ht="33.75" customHeight="1">
      <c r="B48" s="246"/>
      <c r="C48" s="247"/>
      <c r="D48" s="247"/>
      <c r="E48" s="240"/>
      <c r="F48" s="242"/>
      <c r="G48" s="242"/>
      <c r="H48" s="242"/>
      <c r="I48" s="242"/>
      <c r="J48" s="240"/>
      <c r="K48" s="240"/>
      <c r="L48" s="241"/>
      <c r="M48" s="239"/>
      <c r="N48" s="240"/>
      <c r="O48" s="241"/>
    </row>
    <row r="49" spans="2:15" ht="15.75" customHeight="1">
      <c r="B49" s="551" t="s">
        <v>295</v>
      </c>
      <c r="C49" s="552"/>
      <c r="D49" s="552"/>
      <c r="E49" s="552"/>
      <c r="F49" s="552"/>
      <c r="G49" s="552"/>
      <c r="H49" s="552"/>
      <c r="I49" s="552"/>
      <c r="J49" s="552"/>
      <c r="K49" s="552"/>
      <c r="L49" s="553"/>
      <c r="M49" s="542" t="s">
        <v>285</v>
      </c>
      <c r="N49" s="543"/>
      <c r="O49" s="544"/>
    </row>
    <row r="50" ht="15">
      <c r="D50" s="226"/>
    </row>
    <row r="52" ht="15">
      <c r="D52" s="226"/>
    </row>
    <row r="53" ht="15">
      <c r="D53" s="226"/>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tabSelected="1" zoomScale="90" zoomScaleNormal="90" zoomScalePageLayoutView="0" workbookViewId="0" topLeftCell="A125">
      <selection activeCell="F138" sqref="F138:F139"/>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63" t="s">
        <v>374</v>
      </c>
      <c r="C2" s="663"/>
      <c r="D2" s="663"/>
      <c r="E2" s="663"/>
      <c r="F2" s="663"/>
      <c r="G2" s="663"/>
      <c r="H2" s="663"/>
      <c r="I2" s="663"/>
      <c r="J2" s="663"/>
      <c r="K2" s="291"/>
      <c r="L2" s="291"/>
      <c r="M2" s="291"/>
    </row>
    <row r="3" spans="1:13" ht="4.5" customHeight="1">
      <c r="A3" s="3"/>
      <c r="B3" s="3"/>
      <c r="C3" s="3"/>
      <c r="D3" s="3"/>
      <c r="E3" s="3"/>
      <c r="F3" s="3"/>
      <c r="G3" s="3"/>
      <c r="H3" s="3"/>
      <c r="I3" s="3"/>
      <c r="J3" s="3"/>
      <c r="K3" s="3"/>
      <c r="L3" s="3"/>
      <c r="M3" s="3"/>
    </row>
    <row r="4" spans="1:13" ht="15">
      <c r="A4" s="3"/>
      <c r="B4" s="289" t="s">
        <v>26</v>
      </c>
      <c r="C4" s="661" t="s">
        <v>177</v>
      </c>
      <c r="D4" s="662"/>
      <c r="E4" s="687" t="s">
        <v>12</v>
      </c>
      <c r="F4" s="687"/>
      <c r="G4" s="661" t="s">
        <v>428</v>
      </c>
      <c r="H4" s="681"/>
      <c r="I4" s="681"/>
      <c r="J4" s="662"/>
      <c r="K4" s="3"/>
      <c r="L4" s="3"/>
      <c r="M4" s="3"/>
    </row>
    <row r="5" spans="1:13" ht="3" customHeight="1">
      <c r="A5" s="3"/>
      <c r="B5" s="289"/>
      <c r="C5" s="3"/>
      <c r="D5" s="3"/>
      <c r="E5" s="292"/>
      <c r="F5" s="292"/>
      <c r="G5" s="3"/>
      <c r="H5" s="3"/>
      <c r="I5" s="3"/>
      <c r="J5" s="3"/>
      <c r="K5" s="3"/>
      <c r="L5" s="3"/>
      <c r="M5" s="3"/>
    </row>
    <row r="6" spans="1:13" ht="15">
      <c r="A6" s="3"/>
      <c r="B6" s="289" t="s">
        <v>116</v>
      </c>
      <c r="C6" s="661" t="s">
        <v>444</v>
      </c>
      <c r="D6" s="662"/>
      <c r="E6" s="687" t="s">
        <v>27</v>
      </c>
      <c r="F6" s="687"/>
      <c r="G6" s="323" t="s">
        <v>35</v>
      </c>
      <c r="H6" s="289" t="s">
        <v>321</v>
      </c>
      <c r="I6" s="678">
        <v>24902844</v>
      </c>
      <c r="J6" s="679"/>
      <c r="K6" s="3"/>
      <c r="L6" s="3"/>
      <c r="M6" s="3"/>
    </row>
    <row r="7" spans="1:13" ht="3" customHeight="1">
      <c r="A7" s="3"/>
      <c r="B7" s="289"/>
      <c r="C7" s="3"/>
      <c r="D7" s="3"/>
      <c r="E7" s="292"/>
      <c r="F7" s="292"/>
      <c r="G7" s="3"/>
      <c r="H7" s="289"/>
      <c r="I7" s="3"/>
      <c r="J7" s="3"/>
      <c r="K7" s="3"/>
      <c r="L7" s="3"/>
      <c r="M7" s="3"/>
    </row>
    <row r="8" spans="1:13" ht="15">
      <c r="A8" s="3"/>
      <c r="B8" s="289" t="s">
        <v>268</v>
      </c>
      <c r="C8" s="661" t="s">
        <v>427</v>
      </c>
      <c r="D8" s="662"/>
      <c r="E8" s="293"/>
      <c r="F8" s="288" t="s">
        <v>323</v>
      </c>
      <c r="G8" s="418"/>
      <c r="H8" s="288" t="s">
        <v>322</v>
      </c>
      <c r="I8" s="661"/>
      <c r="J8" s="662"/>
      <c r="K8" s="3"/>
      <c r="L8" s="3"/>
      <c r="M8" s="3"/>
    </row>
    <row r="9" spans="1:13" ht="3" customHeight="1">
      <c r="A9" s="3"/>
      <c r="B9" s="292"/>
      <c r="C9" s="3"/>
      <c r="D9" s="3"/>
      <c r="E9" s="292"/>
      <c r="F9" s="292"/>
      <c r="G9" s="3"/>
      <c r="H9" s="3"/>
      <c r="I9" s="3"/>
      <c r="J9" s="3"/>
      <c r="K9" s="3"/>
      <c r="L9" s="3"/>
      <c r="M9" s="3"/>
    </row>
    <row r="10" spans="1:13" ht="15">
      <c r="A10" s="3"/>
      <c r="B10" s="289" t="s">
        <v>404</v>
      </c>
      <c r="C10" s="685">
        <v>42186</v>
      </c>
      <c r="D10" s="686"/>
      <c r="E10" s="684" t="s">
        <v>31</v>
      </c>
      <c r="F10" s="683"/>
      <c r="G10" s="661" t="s">
        <v>57</v>
      </c>
      <c r="H10" s="681"/>
      <c r="I10" s="681"/>
      <c r="J10" s="66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0"/>
      <c r="D12" s="650"/>
      <c r="E12" s="684" t="s">
        <v>289</v>
      </c>
      <c r="F12" s="687"/>
      <c r="G12" s="680" t="s">
        <v>445</v>
      </c>
      <c r="H12" s="680"/>
      <c r="I12" s="680"/>
      <c r="J12" s="680"/>
      <c r="K12" s="3"/>
      <c r="L12" s="3"/>
      <c r="M12" s="3"/>
    </row>
    <row r="13" spans="1:13" ht="5.25" customHeight="1">
      <c r="A13" s="3"/>
      <c r="B13" s="3"/>
      <c r="C13" s="3"/>
      <c r="D13" s="3"/>
      <c r="E13" s="3"/>
      <c r="F13" s="3"/>
      <c r="G13" s="3"/>
      <c r="H13" s="3"/>
      <c r="I13" s="3"/>
      <c r="J13" s="3"/>
      <c r="K13" s="3"/>
      <c r="L13" s="3"/>
      <c r="M13" s="3"/>
    </row>
    <row r="14" spans="1:13" ht="15.75" customHeight="1">
      <c r="A14" s="3"/>
      <c r="B14" s="663" t="s">
        <v>2</v>
      </c>
      <c r="C14" s="663"/>
      <c r="D14" s="663"/>
      <c r="E14" s="663"/>
      <c r="F14" s="663"/>
      <c r="G14" s="663"/>
      <c r="H14" s="663"/>
      <c r="I14" s="663"/>
      <c r="J14" s="663"/>
      <c r="K14" s="3"/>
      <c r="L14" s="3"/>
      <c r="M14" s="3"/>
    </row>
    <row r="15" spans="1:13" ht="3" customHeight="1">
      <c r="A15" s="3"/>
      <c r="B15" s="3"/>
      <c r="C15" s="3"/>
      <c r="D15" s="3"/>
      <c r="E15" s="3"/>
      <c r="F15" s="3"/>
      <c r="G15" s="3"/>
      <c r="H15" s="3"/>
      <c r="I15" s="3"/>
      <c r="J15" s="3"/>
      <c r="K15" s="3"/>
      <c r="L15" s="3"/>
      <c r="M15" s="3"/>
    </row>
    <row r="16" spans="1:13" ht="15">
      <c r="A16" s="3"/>
      <c r="B16" s="289" t="s">
        <v>21</v>
      </c>
      <c r="C16" s="418" t="s">
        <v>107</v>
      </c>
      <c r="D16" s="288" t="s">
        <v>324</v>
      </c>
      <c r="E16" s="294">
        <v>42278</v>
      </c>
      <c r="F16" s="290" t="s">
        <v>8</v>
      </c>
      <c r="G16" s="294">
        <v>42369</v>
      </c>
      <c r="H16" s="684" t="s">
        <v>325</v>
      </c>
      <c r="I16" s="683"/>
      <c r="J16" s="294">
        <v>42415</v>
      </c>
      <c r="K16" s="3"/>
      <c r="L16" s="3"/>
      <c r="M16" s="3"/>
    </row>
    <row r="17" spans="1:13" ht="3" customHeight="1">
      <c r="A17" s="3"/>
      <c r="B17" s="3"/>
      <c r="C17" s="3"/>
      <c r="D17" s="3"/>
      <c r="E17" s="3"/>
      <c r="F17" s="3"/>
      <c r="G17" s="3"/>
      <c r="H17" s="3"/>
      <c r="I17" s="3"/>
      <c r="J17" s="3"/>
      <c r="K17" s="3"/>
      <c r="L17" s="3"/>
      <c r="M17" s="3"/>
    </row>
    <row r="18" spans="1:13" ht="15">
      <c r="A18" s="3"/>
      <c r="B18" s="682" t="s">
        <v>32</v>
      </c>
      <c r="C18" s="683"/>
      <c r="D18" s="651" t="s">
        <v>463</v>
      </c>
      <c r="E18" s="651"/>
      <c r="F18" s="651"/>
      <c r="G18" s="295"/>
      <c r="H18" s="295"/>
      <c r="I18" s="295"/>
      <c r="J18" s="295"/>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63" t="s">
        <v>362</v>
      </c>
      <c r="C21" s="663"/>
      <c r="D21" s="663"/>
      <c r="E21" s="663"/>
      <c r="F21" s="663"/>
      <c r="G21" s="663"/>
      <c r="H21" s="663"/>
      <c r="I21" s="663"/>
      <c r="J21" s="663"/>
      <c r="K21" s="3"/>
      <c r="L21" s="3"/>
      <c r="M21" s="3"/>
    </row>
    <row r="22" spans="1:13" ht="15">
      <c r="A22" s="3"/>
      <c r="B22" s="292" t="s">
        <v>3</v>
      </c>
      <c r="C22" s="3"/>
      <c r="D22" s="3"/>
      <c r="E22" s="296"/>
      <c r="F22" s="296"/>
      <c r="G22" s="3"/>
      <c r="H22" s="3"/>
      <c r="I22" s="296"/>
      <c r="J22" s="296"/>
      <c r="K22" s="3"/>
      <c r="L22" s="3"/>
      <c r="M22" s="3"/>
    </row>
    <row r="23" spans="1:13" ht="3" customHeight="1">
      <c r="A23" s="3"/>
      <c r="B23" s="3"/>
      <c r="C23" s="3"/>
      <c r="D23" s="3"/>
      <c r="E23" s="3"/>
      <c r="F23" s="3"/>
      <c r="G23" s="3"/>
      <c r="H23" s="3"/>
      <c r="I23" s="3"/>
      <c r="J23" s="3"/>
      <c r="K23" s="3"/>
      <c r="L23" s="3"/>
      <c r="M23" s="3"/>
    </row>
    <row r="24" spans="1:14" ht="15.75" thickBot="1">
      <c r="A24" s="3"/>
      <c r="B24" s="289" t="s">
        <v>399</v>
      </c>
      <c r="C24" s="404"/>
      <c r="D24" s="687" t="s">
        <v>400</v>
      </c>
      <c r="E24" s="687"/>
      <c r="F24" s="405"/>
      <c r="G24" s="687" t="s">
        <v>401</v>
      </c>
      <c r="H24" s="687"/>
      <c r="I24" s="676"/>
      <c r="J24" s="677"/>
      <c r="K24" s="3"/>
      <c r="L24" s="3"/>
      <c r="M24" s="3"/>
      <c r="N24" s="20"/>
    </row>
    <row r="25" spans="1:35" ht="19.5" thickBot="1">
      <c r="A25" s="3"/>
      <c r="B25" s="87" t="s">
        <v>399</v>
      </c>
      <c r="C25" s="88"/>
      <c r="D25" s="88"/>
      <c r="E25" s="88"/>
      <c r="F25" s="88"/>
      <c r="G25" s="88"/>
      <c r="H25" s="275"/>
      <c r="I25" s="89"/>
      <c r="J25" s="89"/>
      <c r="K25" s="275" t="s">
        <v>326</v>
      </c>
      <c r="L25" s="88"/>
      <c r="M25" s="88"/>
      <c r="N25" s="425"/>
      <c r="O25" s="40"/>
      <c r="AI25" s="44"/>
    </row>
    <row r="26" spans="1:35" ht="15">
      <c r="A26" s="3"/>
      <c r="B26" s="656" t="s">
        <v>370</v>
      </c>
      <c r="C26" s="657"/>
      <c r="D26" s="439" t="s">
        <v>19</v>
      </c>
      <c r="E26" s="91"/>
      <c r="F26" s="91"/>
      <c r="G26" s="91"/>
      <c r="H26" s="91"/>
      <c r="I26" s="91"/>
      <c r="J26" s="92"/>
      <c r="K26" s="91"/>
      <c r="L26" s="91"/>
      <c r="M26" s="91"/>
      <c r="N26" s="40"/>
      <c r="O26" s="40"/>
      <c r="AI26" s="44"/>
    </row>
    <row r="27" spans="1:35" ht="18.75">
      <c r="A27" s="3"/>
      <c r="B27" s="90" t="s">
        <v>380</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96" t="s">
        <v>60</v>
      </c>
      <c r="C29" s="697"/>
      <c r="D29" s="697"/>
      <c r="E29" s="697"/>
      <c r="F29" s="697"/>
      <c r="G29" s="697"/>
      <c r="H29" s="697"/>
      <c r="I29" s="697"/>
      <c r="J29" s="697"/>
      <c r="K29" s="697"/>
      <c r="L29" s="697"/>
      <c r="M29" s="697"/>
      <c r="N29" s="698"/>
      <c r="P29" s="211"/>
      <c r="Q29" s="212"/>
      <c r="R29" s="213">
        <f>+C33</f>
        <v>6031966</v>
      </c>
      <c r="S29" s="211"/>
    </row>
    <row r="30" spans="1:19" ht="15">
      <c r="A30" s="3"/>
      <c r="B30" s="93" t="s">
        <v>267</v>
      </c>
      <c r="C30" s="383" t="s">
        <v>106</v>
      </c>
      <c r="D30" s="383" t="s">
        <v>107</v>
      </c>
      <c r="E30" s="383" t="s">
        <v>108</v>
      </c>
      <c r="F30" s="383" t="s">
        <v>109</v>
      </c>
      <c r="G30" s="383" t="s">
        <v>120</v>
      </c>
      <c r="H30" s="383" t="s">
        <v>121</v>
      </c>
      <c r="I30" s="383" t="s">
        <v>122</v>
      </c>
      <c r="J30" s="383" t="s">
        <v>123</v>
      </c>
      <c r="K30" s="383" t="s">
        <v>124</v>
      </c>
      <c r="L30" s="383" t="s">
        <v>125</v>
      </c>
      <c r="M30" s="383" t="s">
        <v>126</v>
      </c>
      <c r="N30" s="384" t="s">
        <v>287</v>
      </c>
      <c r="O30" s="385" t="s">
        <v>4</v>
      </c>
      <c r="P30" s="211"/>
      <c r="Q30" s="212"/>
      <c r="R30" s="213">
        <f>+D33</f>
        <v>7769728</v>
      </c>
      <c r="S30" s="211"/>
    </row>
    <row r="31" spans="1:19" ht="15">
      <c r="A31" s="3"/>
      <c r="B31" s="285" t="str">
        <f>CONCATENATE("Budget (in ",'Data Entry'!$D$26,")")</f>
        <v>Budget (in $)</v>
      </c>
      <c r="C31" s="395">
        <v>6031966</v>
      </c>
      <c r="D31" s="394">
        <v>1737762</v>
      </c>
      <c r="E31" s="495"/>
      <c r="F31" s="494"/>
      <c r="G31" s="494"/>
      <c r="H31" s="494"/>
      <c r="I31" s="496"/>
      <c r="J31" s="394"/>
      <c r="K31" s="394"/>
      <c r="L31" s="394"/>
      <c r="M31" s="395"/>
      <c r="N31" s="394"/>
      <c r="O31" s="627">
        <f>+SUM(C35:N35)</f>
        <v>0.36922257767582084</v>
      </c>
      <c r="P31" s="211"/>
      <c r="Q31" s="212"/>
      <c r="R31" s="213">
        <f>+E33</f>
        <v>0</v>
      </c>
      <c r="S31" s="211"/>
    </row>
    <row r="32" spans="1:19" ht="15">
      <c r="A32" s="3"/>
      <c r="B32" s="93" t="str">
        <f>CONCATENATE("Disbursements by GF (in ",$D$26,")")</f>
        <v>Disbursements by GF (in $)</v>
      </c>
      <c r="C32" s="395">
        <v>2868759</v>
      </c>
      <c r="D32" s="394">
        <v>0</v>
      </c>
      <c r="E32" s="497"/>
      <c r="F32" s="497"/>
      <c r="G32" s="497"/>
      <c r="H32" s="497"/>
      <c r="I32" s="498"/>
      <c r="J32" s="394"/>
      <c r="K32" s="394"/>
      <c r="L32" s="394"/>
      <c r="M32" s="394"/>
      <c r="N32" s="394"/>
      <c r="O32" s="628"/>
      <c r="P32" s="211"/>
      <c r="Q32" s="212"/>
      <c r="R32" s="213">
        <f>+F33</f>
        <v>0</v>
      </c>
      <c r="S32" s="211"/>
    </row>
    <row r="33" spans="1:19" ht="15">
      <c r="A33" s="3"/>
      <c r="B33" s="94" t="s">
        <v>386</v>
      </c>
      <c r="C33" s="396">
        <f>+C31</f>
        <v>6031966</v>
      </c>
      <c r="D33" s="396">
        <f>IF(AND(D31=0,D32=0),0,+C33+D31)</f>
        <v>7769728</v>
      </c>
      <c r="E33" s="396">
        <f aca="true" t="shared" si="0" ref="E33:N33">IF(AND(E31=0,E32=0),0,+D33+E31)</f>
        <v>0</v>
      </c>
      <c r="F33" s="396">
        <f t="shared" si="0"/>
        <v>0</v>
      </c>
      <c r="G33" s="396">
        <f t="shared" si="0"/>
        <v>0</v>
      </c>
      <c r="H33" s="396">
        <f t="shared" si="0"/>
        <v>0</v>
      </c>
      <c r="I33" s="396">
        <f t="shared" si="0"/>
        <v>0</v>
      </c>
      <c r="J33" s="396">
        <f t="shared" si="0"/>
        <v>0</v>
      </c>
      <c r="K33" s="396">
        <f t="shared" si="0"/>
        <v>0</v>
      </c>
      <c r="L33" s="396">
        <f t="shared" si="0"/>
        <v>0</v>
      </c>
      <c r="M33" s="396">
        <f t="shared" si="0"/>
        <v>0</v>
      </c>
      <c r="N33" s="396">
        <f t="shared" si="0"/>
        <v>0</v>
      </c>
      <c r="O33" s="628"/>
      <c r="P33" s="374"/>
      <c r="Q33" s="212"/>
      <c r="R33" s="213">
        <f>+G33</f>
        <v>0</v>
      </c>
      <c r="S33" s="211"/>
    </row>
    <row r="34" spans="1:19" ht="15.75" thickBot="1">
      <c r="A34" s="3"/>
      <c r="B34" s="95" t="s">
        <v>387</v>
      </c>
      <c r="C34" s="397">
        <f>+C32</f>
        <v>2868759</v>
      </c>
      <c r="D34" s="397">
        <f>IF(AND(D31=0,D32=0),0,+C34+D32)</f>
        <v>2868759</v>
      </c>
      <c r="E34" s="397">
        <f aca="true" t="shared" si="1" ref="E34:N34">IF(AND(E31=0,E32=0),0,+D34+E32)</f>
        <v>0</v>
      </c>
      <c r="F34" s="397">
        <f t="shared" si="1"/>
        <v>0</v>
      </c>
      <c r="G34" s="397">
        <f t="shared" si="1"/>
        <v>0</v>
      </c>
      <c r="H34" s="397">
        <f t="shared" si="1"/>
        <v>0</v>
      </c>
      <c r="I34" s="397">
        <f t="shared" si="1"/>
        <v>0</v>
      </c>
      <c r="J34" s="397">
        <f t="shared" si="1"/>
        <v>0</v>
      </c>
      <c r="K34" s="397">
        <f t="shared" si="1"/>
        <v>0</v>
      </c>
      <c r="L34" s="397">
        <f t="shared" si="1"/>
        <v>0</v>
      </c>
      <c r="M34" s="397">
        <f t="shared" si="1"/>
        <v>0</v>
      </c>
      <c r="N34" s="397">
        <f t="shared" si="1"/>
        <v>0</v>
      </c>
      <c r="O34" s="629"/>
      <c r="P34" s="374"/>
      <c r="Q34" s="212"/>
      <c r="R34" s="213">
        <f>+H33</f>
        <v>0</v>
      </c>
      <c r="S34" s="211"/>
    </row>
    <row r="35" spans="1:19" ht="15">
      <c r="A35" s="3"/>
      <c r="B35" s="3"/>
      <c r="C35" s="351">
        <f>+IF(AND(C30=$C$16,C33&lt;&gt;0),C34/C33,0)</f>
        <v>0</v>
      </c>
      <c r="D35" s="351">
        <f aca="true" t="shared" si="2" ref="D35:N35">+IF(AND(D30=$C$16,D33&lt;&gt;0),D34/D33,0)</f>
        <v>0.36922257767582084</v>
      </c>
      <c r="E35" s="351">
        <f t="shared" si="2"/>
        <v>0</v>
      </c>
      <c r="F35" s="351">
        <f t="shared" si="2"/>
        <v>0</v>
      </c>
      <c r="G35" s="351">
        <f t="shared" si="2"/>
        <v>0</v>
      </c>
      <c r="H35" s="351">
        <f t="shared" si="2"/>
        <v>0</v>
      </c>
      <c r="I35" s="351">
        <f t="shared" si="2"/>
        <v>0</v>
      </c>
      <c r="J35" s="351">
        <f t="shared" si="2"/>
        <v>0</v>
      </c>
      <c r="K35" s="351">
        <f t="shared" si="2"/>
        <v>0</v>
      </c>
      <c r="L35" s="351">
        <f t="shared" si="2"/>
        <v>0</v>
      </c>
      <c r="M35" s="351">
        <f t="shared" si="2"/>
        <v>0</v>
      </c>
      <c r="N35" s="351">
        <f t="shared" si="2"/>
        <v>0</v>
      </c>
      <c r="O35" s="297"/>
      <c r="P35" s="214"/>
      <c r="Q35" s="215"/>
      <c r="R35" s="213">
        <f>+I33</f>
        <v>0</v>
      </c>
      <c r="S35" s="211"/>
    </row>
    <row r="36" spans="1:35" ht="18.75">
      <c r="A36" s="3"/>
      <c r="B36" s="90" t="s">
        <v>379</v>
      </c>
      <c r="C36" s="3"/>
      <c r="D36" s="3"/>
      <c r="E36" s="365"/>
      <c r="F36" s="3"/>
      <c r="G36" s="266"/>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8" t="s">
        <v>403</v>
      </c>
      <c r="C38" s="409" t="str">
        <f>CONCATENATE("Cumulative Budget (in ",'Data Entry'!$D$26,")")</f>
        <v>Cumulative Budget (in $)</v>
      </c>
      <c r="D38" s="410" t="str">
        <f>CONCATENATE("Cumulative Expenditures (in ",'Data Entry'!$D$26,")")</f>
        <v>Cumulative Expenditures (in $)</v>
      </c>
      <c r="E38" s="281"/>
      <c r="F38" s="300"/>
      <c r="G38" s="3"/>
      <c r="H38" s="3"/>
      <c r="I38" s="3"/>
      <c r="J38" s="101"/>
      <c r="K38" s="42"/>
      <c r="N38"/>
      <c r="O38"/>
      <c r="AE38" s="20"/>
      <c r="AF38" s="36"/>
    </row>
    <row r="39" spans="1:32" ht="14.25" customHeight="1">
      <c r="A39" s="3"/>
      <c r="B39" s="411" t="s">
        <v>449</v>
      </c>
      <c r="C39" s="406">
        <v>2485141</v>
      </c>
      <c r="D39" s="412">
        <v>959200</v>
      </c>
      <c r="E39" s="298"/>
      <c r="F39" s="376"/>
      <c r="G39" s="377"/>
      <c r="H39" s="3"/>
      <c r="I39" s="3"/>
      <c r="J39" s="102"/>
      <c r="K39" s="43"/>
      <c r="N39"/>
      <c r="O39"/>
      <c r="AE39" s="20"/>
      <c r="AF39" s="36"/>
    </row>
    <row r="40" spans="1:32" ht="14.25" customHeight="1">
      <c r="A40" s="3"/>
      <c r="B40" s="492" t="s">
        <v>450</v>
      </c>
      <c r="C40" s="406">
        <v>588208</v>
      </c>
      <c r="D40" s="412">
        <v>13310</v>
      </c>
      <c r="E40" s="15"/>
      <c r="F40" s="376"/>
      <c r="G40" s="377"/>
      <c r="H40" s="3"/>
      <c r="I40" s="3"/>
      <c r="J40" s="3"/>
      <c r="K40" s="43"/>
      <c r="N40"/>
      <c r="O40"/>
      <c r="AE40" s="20"/>
      <c r="AF40" s="36"/>
    </row>
    <row r="41" spans="1:32" ht="15">
      <c r="A41" s="3"/>
      <c r="B41" s="411" t="s">
        <v>451</v>
      </c>
      <c r="C41" s="407">
        <v>1395373</v>
      </c>
      <c r="D41" s="412">
        <v>320549.54</v>
      </c>
      <c r="E41" s="15"/>
      <c r="F41" s="378"/>
      <c r="G41" s="3"/>
      <c r="H41" s="3"/>
      <c r="I41" s="3"/>
      <c r="J41" s="3"/>
      <c r="K41" s="43"/>
      <c r="N41"/>
      <c r="O41"/>
      <c r="AE41" s="20"/>
      <c r="AF41" s="36"/>
    </row>
    <row r="42" spans="1:32" ht="15" customHeight="1">
      <c r="A42" s="3"/>
      <c r="B42" s="411" t="s">
        <v>452</v>
      </c>
      <c r="C42" s="406">
        <v>89402</v>
      </c>
      <c r="D42" s="412">
        <v>0</v>
      </c>
      <c r="E42" s="15"/>
      <c r="F42" s="375"/>
      <c r="G42" s="3"/>
      <c r="H42" s="3"/>
      <c r="I42" s="3"/>
      <c r="J42" s="3"/>
      <c r="K42" s="20"/>
      <c r="N42"/>
      <c r="O42"/>
      <c r="AE42" s="20"/>
      <c r="AF42" s="36"/>
    </row>
    <row r="43" spans="1:32" ht="15">
      <c r="A43" s="3"/>
      <c r="B43" s="413" t="s">
        <v>453</v>
      </c>
      <c r="C43" s="407">
        <v>127370</v>
      </c>
      <c r="D43" s="412">
        <v>46164</v>
      </c>
      <c r="E43" s="15"/>
      <c r="F43" s="299"/>
      <c r="G43" s="3"/>
      <c r="H43" s="3"/>
      <c r="I43" s="3"/>
      <c r="J43" s="3"/>
      <c r="K43" s="20"/>
      <c r="N43"/>
      <c r="O43"/>
      <c r="AE43" s="20"/>
      <c r="AF43" s="36"/>
    </row>
    <row r="44" spans="1:32" ht="15">
      <c r="A44" s="3"/>
      <c r="B44" s="413" t="s">
        <v>454</v>
      </c>
      <c r="C44" s="407">
        <v>687814</v>
      </c>
      <c r="D44" s="412">
        <v>519617.51</v>
      </c>
      <c r="E44" s="15"/>
      <c r="F44" s="433"/>
      <c r="G44" s="3"/>
      <c r="H44" s="3"/>
      <c r="I44" s="3"/>
      <c r="J44" s="3"/>
      <c r="K44" s="20"/>
      <c r="N44"/>
      <c r="O44"/>
      <c r="AE44" s="20"/>
      <c r="AF44" s="36"/>
    </row>
    <row r="45" spans="1:32" ht="15">
      <c r="A45" s="3"/>
      <c r="B45" s="413" t="s">
        <v>455</v>
      </c>
      <c r="C45" s="407">
        <v>2396420</v>
      </c>
      <c r="D45" s="412">
        <v>0</v>
      </c>
      <c r="E45" s="15"/>
      <c r="F45" s="299"/>
      <c r="G45" s="15"/>
      <c r="H45" s="15"/>
      <c r="I45" s="15"/>
      <c r="J45" s="15"/>
      <c r="K45" s="20"/>
      <c r="N45"/>
      <c r="O45"/>
      <c r="AE45" s="36"/>
      <c r="AF45" s="36"/>
    </row>
    <row r="46" spans="1:32" ht="15.75" thickBot="1">
      <c r="A46" s="3"/>
      <c r="B46" s="414"/>
      <c r="C46" s="406"/>
      <c r="D46" s="412"/>
      <c r="E46" s="15"/>
      <c r="F46" s="15"/>
      <c r="G46" s="15"/>
      <c r="H46" s="15"/>
      <c r="I46" s="15"/>
      <c r="J46" s="15"/>
      <c r="K46" s="20"/>
      <c r="N46"/>
      <c r="O46"/>
      <c r="AE46" s="36"/>
      <c r="AF46" s="36"/>
    </row>
    <row r="47" spans="1:32" ht="15.75" thickBot="1">
      <c r="A47" s="3"/>
      <c r="B47" s="415" t="s">
        <v>59</v>
      </c>
      <c r="C47" s="416">
        <f>SUM(C39:C46)</f>
        <v>7769728</v>
      </c>
      <c r="D47" s="417">
        <f>SUM(D39:D46)</f>
        <v>1858841.05</v>
      </c>
      <c r="E47" s="297"/>
      <c r="F47" s="635" t="str">
        <f ca="1">+IF((ROUND(C47,0)=ROUND(OFFSET(B33,0,RIGHT('Data Entry'!$C$16,LEN('Data Entry'!$C$16)-1),1,1),0)),"OK: Data match","Warning: Data does not match")</f>
        <v>OK: Data match</v>
      </c>
      <c r="G47" s="636"/>
      <c r="H47" s="636"/>
      <c r="I47" s="637"/>
      <c r="J47" s="205"/>
      <c r="K47" s="205"/>
      <c r="L47" s="205"/>
      <c r="M47" s="214"/>
      <c r="N47" s="215"/>
      <c r="O47" s="213"/>
      <c r="P47" s="211"/>
      <c r="AE47" s="36"/>
      <c r="AF47" s="36"/>
    </row>
    <row r="48" spans="1:19" ht="15">
      <c r="A48" s="3"/>
      <c r="B48" s="3"/>
      <c r="C48" s="205"/>
      <c r="D48" s="205"/>
      <c r="E48" s="278"/>
      <c r="F48" s="205"/>
      <c r="G48" s="205"/>
      <c r="H48" s="205"/>
      <c r="I48" s="205"/>
      <c r="J48" s="205"/>
      <c r="K48" s="205"/>
      <c r="L48" s="205"/>
      <c r="M48" s="205"/>
      <c r="N48" s="205"/>
      <c r="O48" s="205"/>
      <c r="P48" s="214"/>
      <c r="Q48" s="215"/>
      <c r="R48" s="213"/>
      <c r="S48" s="211"/>
    </row>
    <row r="49" spans="1:19" ht="18.75">
      <c r="A49" s="3"/>
      <c r="B49" s="90" t="s">
        <v>378</v>
      </c>
      <c r="C49" s="3"/>
      <c r="D49" s="3"/>
      <c r="E49" s="3"/>
      <c r="F49" s="3"/>
      <c r="G49" s="3"/>
      <c r="H49" s="3"/>
      <c r="I49" s="3"/>
      <c r="J49" s="3"/>
      <c r="K49" s="3"/>
      <c r="L49" s="3"/>
      <c r="M49" s="3"/>
      <c r="P49" s="211"/>
      <c r="Q49" s="212"/>
      <c r="R49" s="213">
        <f>+J33</f>
        <v>0</v>
      </c>
      <c r="S49" s="211"/>
    </row>
    <row r="50" spans="1:19" ht="15.75" thickBot="1">
      <c r="A50" s="3"/>
      <c r="B50" s="3"/>
      <c r="C50" s="3"/>
      <c r="D50" s="3"/>
      <c r="E50" s="3"/>
      <c r="F50" s="3"/>
      <c r="G50" s="3"/>
      <c r="H50" s="3"/>
      <c r="I50" s="3"/>
      <c r="J50" s="3"/>
      <c r="K50" s="3"/>
      <c r="L50" s="3"/>
      <c r="M50" s="3"/>
      <c r="P50" s="211"/>
      <c r="Q50" s="212"/>
      <c r="R50" s="213">
        <f>+K33</f>
        <v>0</v>
      </c>
      <c r="S50" s="211"/>
    </row>
    <row r="51" spans="1:34" ht="35.25" customHeight="1">
      <c r="A51" s="3"/>
      <c r="B51" s="303"/>
      <c r="C51" s="304" t="s">
        <v>376</v>
      </c>
      <c r="D51" s="304" t="s">
        <v>377</v>
      </c>
      <c r="E51" s="431" t="str">
        <f>CONCATENATE("Total Spent and Disbursement (in ",D26,")")</f>
        <v>Total Spent and Disbursement (in $)</v>
      </c>
      <c r="F51" s="3"/>
      <c r="G51" s="307"/>
      <c r="H51" s="300"/>
      <c r="I51" s="286"/>
      <c r="J51" s="286"/>
      <c r="K51" s="286"/>
      <c r="L51" s="286"/>
      <c r="M51" s="22"/>
      <c r="N51" s="22"/>
      <c r="O51" s="211"/>
      <c r="P51" s="212"/>
      <c r="Q51" s="213">
        <f>+M33</f>
        <v>0</v>
      </c>
      <c r="R51" s="211"/>
      <c r="AH51" s="20"/>
    </row>
    <row r="52" spans="1:34" ht="15">
      <c r="A52" s="3"/>
      <c r="B52" s="301" t="s">
        <v>311</v>
      </c>
      <c r="C52" s="398">
        <v>2868759</v>
      </c>
      <c r="D52" s="394">
        <v>0</v>
      </c>
      <c r="E52" s="399">
        <f>+D52+C52</f>
        <v>2868759</v>
      </c>
      <c r="F52" s="3"/>
      <c r="G52" s="97"/>
      <c r="H52" s="305"/>
      <c r="I52" s="96"/>
      <c r="J52" s="208"/>
      <c r="K52" s="209"/>
      <c r="L52" s="98"/>
      <c r="M52" s="37"/>
      <c r="N52" s="37"/>
      <c r="O52" s="211"/>
      <c r="P52" s="211"/>
      <c r="Q52" s="211"/>
      <c r="R52" s="211"/>
      <c r="AH52" s="20"/>
    </row>
    <row r="53" spans="1:34" ht="15">
      <c r="A53" s="3"/>
      <c r="B53" s="301" t="s">
        <v>290</v>
      </c>
      <c r="C53" s="398">
        <v>1097421.95</v>
      </c>
      <c r="D53" s="398">
        <v>761419.51</v>
      </c>
      <c r="E53" s="399">
        <f>+D53+C53</f>
        <v>1858841.46</v>
      </c>
      <c r="F53" s="3"/>
      <c r="G53" s="260"/>
      <c r="H53" s="305"/>
      <c r="I53" s="96"/>
      <c r="J53" s="208"/>
      <c r="K53" s="208"/>
      <c r="L53" s="98"/>
      <c r="M53" s="38"/>
      <c r="N53" s="38"/>
      <c r="O53" s="211"/>
      <c r="P53" s="211"/>
      <c r="Q53" s="211"/>
      <c r="R53" s="211"/>
      <c r="AH53" s="20"/>
    </row>
    <row r="54" spans="1:34" ht="15">
      <c r="A54" s="3"/>
      <c r="B54" s="301" t="s">
        <v>269</v>
      </c>
      <c r="C54" s="398"/>
      <c r="D54" s="398"/>
      <c r="E54" s="399">
        <f>+D54+C54</f>
        <v>0</v>
      </c>
      <c r="F54" s="3"/>
      <c r="G54" s="97"/>
      <c r="H54" s="305"/>
      <c r="I54" s="96"/>
      <c r="J54" s="208"/>
      <c r="K54" s="209"/>
      <c r="L54" s="98"/>
      <c r="M54" s="37"/>
      <c r="N54" s="37"/>
      <c r="O54"/>
      <c r="AH54" s="20"/>
    </row>
    <row r="55" spans="1:34" ht="15.75" thickBot="1">
      <c r="A55" s="3"/>
      <c r="B55" s="302" t="s">
        <v>270</v>
      </c>
      <c r="C55" s="400"/>
      <c r="D55" s="400"/>
      <c r="E55" s="401">
        <f>+D55+C55</f>
        <v>0</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4"/>
      <c r="E57" s="3"/>
      <c r="F57" s="3"/>
      <c r="G57" s="3"/>
      <c r="H57" s="3"/>
      <c r="I57" s="3"/>
      <c r="J57" s="3"/>
      <c r="K57" s="3"/>
      <c r="L57" s="3"/>
      <c r="M57" s="3"/>
    </row>
    <row r="58" spans="1:13" ht="18.75">
      <c r="A58" s="3"/>
      <c r="B58" s="90" t="s">
        <v>381</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99" t="s">
        <v>346</v>
      </c>
      <c r="C60" s="700"/>
      <c r="D60" s="701"/>
      <c r="E60" s="3"/>
      <c r="F60" s="3"/>
      <c r="G60" s="3"/>
      <c r="H60" s="3"/>
      <c r="I60" s="3"/>
      <c r="J60" s="3"/>
      <c r="K60" s="3"/>
      <c r="L60" s="3"/>
      <c r="M60" s="36"/>
      <c r="O60"/>
    </row>
    <row r="61" spans="1:15" ht="15">
      <c r="A61" s="3"/>
      <c r="B61" s="103"/>
      <c r="C61" s="309" t="s">
        <v>61</v>
      </c>
      <c r="D61" s="310" t="s">
        <v>62</v>
      </c>
      <c r="E61" s="3"/>
      <c r="F61" s="3"/>
      <c r="G61" s="3"/>
      <c r="H61" s="3"/>
      <c r="I61" s="3"/>
      <c r="J61" s="3"/>
      <c r="K61" s="3"/>
      <c r="L61" s="3"/>
      <c r="M61" s="36"/>
      <c r="O61"/>
    </row>
    <row r="62" spans="1:15" ht="15">
      <c r="A62" s="3"/>
      <c r="B62" s="104" t="s">
        <v>1</v>
      </c>
      <c r="C62" s="379" t="s">
        <v>432</v>
      </c>
      <c r="D62" s="380" t="s">
        <v>432</v>
      </c>
      <c r="E62" s="3"/>
      <c r="F62" s="3"/>
      <c r="G62" s="3"/>
      <c r="H62" s="3"/>
      <c r="I62" s="3"/>
      <c r="J62" s="3"/>
      <c r="K62" s="3"/>
      <c r="L62" s="3"/>
      <c r="M62" s="36"/>
      <c r="O62"/>
    </row>
    <row r="63" spans="1:15" ht="15">
      <c r="A63" s="3"/>
      <c r="B63" s="308" t="s">
        <v>363</v>
      </c>
      <c r="C63" s="379" t="s">
        <v>432</v>
      </c>
      <c r="D63" s="380" t="s">
        <v>432</v>
      </c>
      <c r="E63" s="3"/>
      <c r="F63" s="3"/>
      <c r="G63" s="3"/>
      <c r="H63" s="305"/>
      <c r="I63" s="305"/>
      <c r="J63" s="3"/>
      <c r="K63" s="3"/>
      <c r="L63" s="3"/>
      <c r="M63" s="36"/>
      <c r="O63"/>
    </row>
    <row r="64" spans="1:15" ht="15.75" thickBot="1">
      <c r="A64" s="3"/>
      <c r="B64" s="105" t="s">
        <v>364</v>
      </c>
      <c r="C64" s="381" t="s">
        <v>432</v>
      </c>
      <c r="D64" s="382" t="s">
        <v>432</v>
      </c>
      <c r="E64" s="3"/>
      <c r="F64" s="3"/>
      <c r="G64" s="3"/>
      <c r="H64" s="305"/>
      <c r="I64" s="305"/>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7"/>
      <c r="M66" s="3"/>
      <c r="AC66" s="19"/>
      <c r="AD66" s="19"/>
    </row>
    <row r="67" spans="1:30" ht="19.5" thickBot="1">
      <c r="A67" s="3"/>
      <c r="B67" s="106" t="s">
        <v>263</v>
      </c>
      <c r="C67" s="107"/>
      <c r="D67" s="107"/>
      <c r="E67" s="107"/>
      <c r="F67" s="107"/>
      <c r="G67" s="107"/>
      <c r="H67" s="334" t="s">
        <v>304</v>
      </c>
      <c r="I67" s="107"/>
      <c r="J67" s="108"/>
      <c r="K67" s="108"/>
      <c r="L67" s="428"/>
      <c r="M67" s="429"/>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54"/>
      <c r="C71" s="655"/>
      <c r="D71" s="114" t="s">
        <v>117</v>
      </c>
      <c r="E71" s="115" t="s">
        <v>296</v>
      </c>
      <c r="F71" s="115" t="s">
        <v>118</v>
      </c>
      <c r="G71" s="116" t="s">
        <v>59</v>
      </c>
      <c r="H71" s="318"/>
      <c r="I71" s="319"/>
      <c r="J71" s="15"/>
      <c r="K71" s="2"/>
      <c r="L71" s="2"/>
      <c r="M71" s="2"/>
      <c r="N71" s="20"/>
      <c r="O71" s="19"/>
      <c r="P71" s="19"/>
      <c r="Q71" s="19"/>
      <c r="R71" s="19"/>
      <c r="S71" s="19"/>
    </row>
    <row r="72" spans="1:19" ht="15">
      <c r="A72" s="3"/>
      <c r="B72" s="693" t="s">
        <v>402</v>
      </c>
      <c r="C72" s="694"/>
      <c r="D72" s="263"/>
      <c r="E72" s="263"/>
      <c r="F72" s="263"/>
      <c r="G72" s="118">
        <f>SUM(D72:F72)</f>
        <v>0</v>
      </c>
      <c r="H72" s="299"/>
      <c r="I72" s="317"/>
      <c r="J72" s="317"/>
      <c r="K72" s="2"/>
      <c r="L72" s="2"/>
      <c r="M72" s="2"/>
      <c r="N72" s="20"/>
      <c r="O72" s="19"/>
      <c r="P72" s="19"/>
      <c r="Q72" s="19"/>
      <c r="R72" s="19"/>
      <c r="S72" s="19"/>
    </row>
    <row r="73" spans="1:19" ht="15.75" thickBot="1">
      <c r="A73" s="3"/>
      <c r="B73" s="688" t="s">
        <v>11</v>
      </c>
      <c r="C73" s="689"/>
      <c r="D73" s="264"/>
      <c r="E73" s="264"/>
      <c r="F73" s="264"/>
      <c r="G73" s="120">
        <f>SUM(D73:F73)</f>
        <v>0</v>
      </c>
      <c r="H73" s="299"/>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383</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64</v>
      </c>
      <c r="D78" s="113" t="s">
        <v>82</v>
      </c>
      <c r="E78" s="122" t="s">
        <v>65</v>
      </c>
      <c r="F78" s="15"/>
      <c r="G78" s="15"/>
      <c r="H78" s="15"/>
      <c r="I78" s="319"/>
      <c r="J78" s="2"/>
      <c r="K78" s="2"/>
      <c r="L78" s="2"/>
      <c r="M78" s="2"/>
      <c r="N78" s="19"/>
      <c r="O78" s="19"/>
      <c r="P78" s="19"/>
      <c r="S78" s="19"/>
    </row>
    <row r="79" spans="1:19" ht="15.75" thickBot="1">
      <c r="A79" s="3"/>
      <c r="B79" s="123" t="s">
        <v>312</v>
      </c>
      <c r="C79" s="366"/>
      <c r="D79" s="366"/>
      <c r="E79" s="367">
        <f>+C79-D79</f>
        <v>0</v>
      </c>
      <c r="F79" s="271"/>
      <c r="G79" s="279"/>
      <c r="H79" s="15"/>
      <c r="I79" s="317"/>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388</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291</v>
      </c>
      <c r="D83" s="113" t="s">
        <v>68</v>
      </c>
      <c r="E83" s="113" t="s">
        <v>83</v>
      </c>
      <c r="F83" s="113" t="s">
        <v>69</v>
      </c>
      <c r="G83" s="153" t="s">
        <v>119</v>
      </c>
      <c r="H83" s="280"/>
      <c r="I83" s="319"/>
      <c r="J83" s="2"/>
      <c r="K83" s="2"/>
      <c r="L83" s="2"/>
      <c r="M83" s="2"/>
      <c r="N83" s="19"/>
      <c r="O83" s="19"/>
      <c r="P83" s="19"/>
      <c r="S83" s="19"/>
    </row>
    <row r="84" spans="1:19" ht="15.75" thickBot="1">
      <c r="A84" s="3"/>
      <c r="B84" s="123" t="s">
        <v>127</v>
      </c>
      <c r="C84" s="366">
        <v>117</v>
      </c>
      <c r="D84" s="366">
        <v>117</v>
      </c>
      <c r="E84" s="366">
        <v>47</v>
      </c>
      <c r="F84" s="366">
        <v>47</v>
      </c>
      <c r="G84" s="368">
        <v>47</v>
      </c>
      <c r="H84" s="320"/>
      <c r="I84" s="299"/>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384</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66</v>
      </c>
      <c r="D88" s="124" t="s">
        <v>67</v>
      </c>
      <c r="E88" s="125" t="s">
        <v>288</v>
      </c>
      <c r="F88" s="2"/>
      <c r="G88" s="2"/>
      <c r="H88" s="2"/>
      <c r="I88" s="2"/>
      <c r="J88" s="19"/>
      <c r="K88" s="19"/>
      <c r="L88" s="19"/>
      <c r="N88"/>
      <c r="O88" s="19"/>
      <c r="AG88" s="36"/>
      <c r="AJ88"/>
    </row>
    <row r="89" spans="1:36" ht="15">
      <c r="A89" s="3"/>
      <c r="B89" s="117" t="s">
        <v>389</v>
      </c>
      <c r="C89" s="263" t="s">
        <v>432</v>
      </c>
      <c r="D89" s="265" t="s">
        <v>432</v>
      </c>
      <c r="E89" s="321" t="e">
        <f>C89-D89</f>
        <v>#VALUE!</v>
      </c>
      <c r="F89" s="2"/>
      <c r="G89" s="2"/>
      <c r="H89" s="2"/>
      <c r="I89" s="2"/>
      <c r="J89" s="19"/>
      <c r="K89" s="19"/>
      <c r="L89" s="19"/>
      <c r="N89"/>
      <c r="O89" s="19"/>
      <c r="AG89" s="36"/>
      <c r="AJ89"/>
    </row>
    <row r="90" spans="1:36" ht="15.75" thickBot="1">
      <c r="A90" s="3"/>
      <c r="B90" s="119" t="s">
        <v>390</v>
      </c>
      <c r="C90" s="264"/>
      <c r="D90" s="322"/>
      <c r="E90" s="481">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391</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6" t="s">
        <v>106</v>
      </c>
      <c r="D94" s="386" t="s">
        <v>107</v>
      </c>
      <c r="E94" s="386" t="s">
        <v>108</v>
      </c>
      <c r="F94" s="386" t="s">
        <v>109</v>
      </c>
      <c r="G94" s="386" t="s">
        <v>120</v>
      </c>
      <c r="H94" s="386" t="s">
        <v>121</v>
      </c>
      <c r="I94" s="386" t="s">
        <v>122</v>
      </c>
      <c r="J94" s="386" t="s">
        <v>123</v>
      </c>
      <c r="K94" s="386" t="s">
        <v>124</v>
      </c>
      <c r="L94" s="386" t="s">
        <v>125</v>
      </c>
      <c r="M94" s="386" t="s">
        <v>126</v>
      </c>
      <c r="N94" s="387" t="s">
        <v>287</v>
      </c>
      <c r="O94" s="20"/>
      <c r="P94" s="20"/>
      <c r="S94" s="19"/>
    </row>
    <row r="95" spans="1:19" ht="15" customHeight="1">
      <c r="A95" s="3"/>
      <c r="B95" s="388" t="s">
        <v>368</v>
      </c>
      <c r="C95" s="369">
        <v>3747977</v>
      </c>
      <c r="D95" s="482">
        <v>174199.16</v>
      </c>
      <c r="E95" s="369"/>
      <c r="F95" s="369"/>
      <c r="G95" s="369"/>
      <c r="H95" s="369"/>
      <c r="I95" s="369"/>
      <c r="J95" s="369"/>
      <c r="K95" s="369"/>
      <c r="L95" s="369"/>
      <c r="M95" s="369"/>
      <c r="N95" s="482"/>
      <c r="O95" s="20"/>
      <c r="P95" s="20"/>
      <c r="S95" s="19"/>
    </row>
    <row r="96" spans="1:19" ht="15" customHeight="1">
      <c r="A96" s="3"/>
      <c r="B96" s="388" t="s">
        <v>365</v>
      </c>
      <c r="C96" s="369"/>
      <c r="D96" s="482">
        <v>4776878.54</v>
      </c>
      <c r="E96" s="369"/>
      <c r="F96" s="369"/>
      <c r="G96" s="369"/>
      <c r="H96" s="369"/>
      <c r="I96" s="369"/>
      <c r="J96" s="369"/>
      <c r="K96" s="369"/>
      <c r="L96" s="369"/>
      <c r="M96" s="369"/>
      <c r="N96" s="482"/>
      <c r="O96" s="20"/>
      <c r="P96" s="20"/>
      <c r="S96" s="19"/>
    </row>
    <row r="97" spans="1:19" ht="15" customHeight="1">
      <c r="A97" s="3"/>
      <c r="B97" s="388" t="s">
        <v>313</v>
      </c>
      <c r="C97" s="369">
        <v>5614.4</v>
      </c>
      <c r="D97" s="482">
        <v>41184.93</v>
      </c>
      <c r="E97" s="369"/>
      <c r="F97" s="369"/>
      <c r="G97" s="369"/>
      <c r="H97" s="369"/>
      <c r="I97" s="369"/>
      <c r="J97" s="369"/>
      <c r="K97" s="369"/>
      <c r="L97" s="369"/>
      <c r="M97" s="369"/>
      <c r="N97" s="482"/>
      <c r="O97" s="20"/>
      <c r="P97" s="20"/>
      <c r="S97" s="19"/>
    </row>
    <row r="98" spans="1:19" ht="15" customHeight="1">
      <c r="A98" s="3"/>
      <c r="B98" s="324" t="s">
        <v>411</v>
      </c>
      <c r="C98" s="370">
        <v>5054536.74</v>
      </c>
      <c r="D98" s="370">
        <f aca="true" t="shared" si="3" ref="D98:N98">+C98+D95</f>
        <v>5228735.9</v>
      </c>
      <c r="E98" s="370">
        <f>+D98+E95</f>
        <v>5228735.9</v>
      </c>
      <c r="F98" s="370">
        <f t="shared" si="3"/>
        <v>5228735.9</v>
      </c>
      <c r="G98" s="370">
        <f t="shared" si="3"/>
        <v>5228735.9</v>
      </c>
      <c r="H98" s="370">
        <f t="shared" si="3"/>
        <v>5228735.9</v>
      </c>
      <c r="I98" s="370">
        <f t="shared" si="3"/>
        <v>5228735.9</v>
      </c>
      <c r="J98" s="370">
        <f t="shared" si="3"/>
        <v>5228735.9</v>
      </c>
      <c r="K98" s="370">
        <f t="shared" si="3"/>
        <v>5228735.9</v>
      </c>
      <c r="L98" s="370">
        <f t="shared" si="3"/>
        <v>5228735.9</v>
      </c>
      <c r="M98" s="370">
        <f t="shared" si="3"/>
        <v>5228735.9</v>
      </c>
      <c r="N98" s="483">
        <f t="shared" si="3"/>
        <v>5228735.9</v>
      </c>
      <c r="O98" s="20"/>
      <c r="P98" s="20"/>
      <c r="S98" s="19"/>
    </row>
    <row r="99" spans="1:19" ht="15" customHeight="1">
      <c r="A99" s="3"/>
      <c r="B99" s="324" t="s">
        <v>5</v>
      </c>
      <c r="C99" s="370">
        <v>480382.58</v>
      </c>
      <c r="D99" s="370">
        <f aca="true" t="shared" si="4" ref="D99:N99">+C99+D96</f>
        <v>5257261.12</v>
      </c>
      <c r="E99" s="370">
        <f>+D99+E96</f>
        <v>5257261.12</v>
      </c>
      <c r="F99" s="370">
        <f t="shared" si="4"/>
        <v>5257261.12</v>
      </c>
      <c r="G99" s="370">
        <f t="shared" si="4"/>
        <v>5257261.12</v>
      </c>
      <c r="H99" s="370">
        <f t="shared" si="4"/>
        <v>5257261.12</v>
      </c>
      <c r="I99" s="370">
        <f t="shared" si="4"/>
        <v>5257261.12</v>
      </c>
      <c r="J99" s="370">
        <f t="shared" si="4"/>
        <v>5257261.12</v>
      </c>
      <c r="K99" s="370">
        <f t="shared" si="4"/>
        <v>5257261.12</v>
      </c>
      <c r="L99" s="370">
        <f t="shared" si="4"/>
        <v>5257261.12</v>
      </c>
      <c r="M99" s="370">
        <f t="shared" si="4"/>
        <v>5257261.12</v>
      </c>
      <c r="N99" s="483">
        <f t="shared" si="4"/>
        <v>5257261.12</v>
      </c>
      <c r="O99" s="20"/>
      <c r="P99" s="20"/>
      <c r="S99" s="19"/>
    </row>
    <row r="100" spans="1:19" ht="15.75" thickBot="1">
      <c r="A100" s="3"/>
      <c r="B100" s="478" t="s">
        <v>6</v>
      </c>
      <c r="C100" s="479">
        <v>4409362.83</v>
      </c>
      <c r="D100" s="480">
        <f aca="true" t="shared" si="5" ref="D100:N100">+C100+D97</f>
        <v>4450547.76</v>
      </c>
      <c r="E100" s="480">
        <f>+D100+E97</f>
        <v>4450547.76</v>
      </c>
      <c r="F100" s="480">
        <f t="shared" si="5"/>
        <v>4450547.76</v>
      </c>
      <c r="G100" s="480">
        <f t="shared" si="5"/>
        <v>4450547.76</v>
      </c>
      <c r="H100" s="480">
        <f t="shared" si="5"/>
        <v>4450547.76</v>
      </c>
      <c r="I100" s="480">
        <f t="shared" si="5"/>
        <v>4450547.76</v>
      </c>
      <c r="J100" s="480">
        <f t="shared" si="5"/>
        <v>4450547.76</v>
      </c>
      <c r="K100" s="480">
        <f t="shared" si="5"/>
        <v>4450547.76</v>
      </c>
      <c r="L100" s="480">
        <f t="shared" si="5"/>
        <v>4450547.76</v>
      </c>
      <c r="M100" s="480">
        <f t="shared" si="5"/>
        <v>4450547.76</v>
      </c>
      <c r="N100" s="484">
        <f t="shared" si="5"/>
        <v>4450547.76</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405</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385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5" t="s">
        <v>33</v>
      </c>
      <c r="C107" s="326" t="s">
        <v>80</v>
      </c>
      <c r="D107" s="328" t="s">
        <v>367</v>
      </c>
      <c r="E107" s="328" t="s">
        <v>336</v>
      </c>
      <c r="F107" s="327" t="s">
        <v>337</v>
      </c>
      <c r="G107" s="327" t="s">
        <v>338</v>
      </c>
      <c r="H107" s="328" t="s">
        <v>339</v>
      </c>
      <c r="I107" s="328" t="s">
        <v>340</v>
      </c>
      <c r="J107" s="328" t="s">
        <v>341</v>
      </c>
      <c r="K107" s="329" t="s">
        <v>342</v>
      </c>
      <c r="L107" s="2"/>
      <c r="M107" s="20"/>
      <c r="N107" s="20"/>
      <c r="O107" s="20"/>
      <c r="P107" s="19"/>
      <c r="R107" s="20"/>
    </row>
    <row r="108" spans="1:18" ht="15">
      <c r="A108" s="3"/>
      <c r="B108" s="658" t="s">
        <v>373</v>
      </c>
      <c r="C108" s="493" t="s">
        <v>429</v>
      </c>
      <c r="D108" s="419"/>
      <c r="E108" s="420">
        <f>IF(ISBLANK(D108),"",D108*30)</f>
      </c>
      <c r="F108" s="371"/>
      <c r="G108" s="372">
        <f>IF(AND(E108&gt;0,F108&gt;0),(F108*E108),"")</f>
      </c>
      <c r="H108" s="371">
        <v>66</v>
      </c>
      <c r="I108" s="436" t="e">
        <f>IF(AND(G108&gt;0,H108&gt;0),H108/G108,"")</f>
        <v>#VALUE!</v>
      </c>
      <c r="J108" s="421">
        <v>2.6</v>
      </c>
      <c r="K108" s="485" t="e">
        <f>IF(AND(I108&gt;0,J108&gt;0),I108-J108,"")</f>
        <v>#VALUE!</v>
      </c>
      <c r="L108" s="2"/>
      <c r="M108" s="20"/>
      <c r="N108" s="20"/>
      <c r="O108" s="20"/>
      <c r="P108" s="19"/>
      <c r="R108" s="20"/>
    </row>
    <row r="109" spans="1:16" ht="15">
      <c r="A109" s="3"/>
      <c r="B109" s="659"/>
      <c r="C109" s="493" t="s">
        <v>430</v>
      </c>
      <c r="D109" s="419"/>
      <c r="E109" s="420">
        <f>IF(ISBLANK(D109),"",D109*30)</f>
      </c>
      <c r="F109" s="371"/>
      <c r="G109" s="372">
        <f>IF(AND(E109&gt;0,F109&gt;0),(F109*E109),"")</f>
      </c>
      <c r="H109" s="371">
        <v>1350</v>
      </c>
      <c r="I109" s="436" t="e">
        <f>IF(AND(G109&gt;0,H109&gt;0),H109/G109,"")</f>
        <v>#VALUE!</v>
      </c>
      <c r="J109" s="421">
        <v>2.2</v>
      </c>
      <c r="K109" s="485" t="e">
        <f>IF(AND(I109&gt;0,J109&gt;0),I109-J109,"")</f>
        <v>#VALUE!</v>
      </c>
      <c r="L109" s="2"/>
      <c r="M109" s="20"/>
      <c r="N109" s="20"/>
      <c r="O109" s="20"/>
      <c r="P109" s="19"/>
    </row>
    <row r="110" spans="1:18" ht="15">
      <c r="A110" s="3"/>
      <c r="B110" s="659"/>
      <c r="C110" s="493" t="s">
        <v>431</v>
      </c>
      <c r="D110" s="419"/>
      <c r="E110" s="420">
        <f>IF(ISBLANK(D110),"",D110*30)</f>
      </c>
      <c r="F110" s="371"/>
      <c r="G110" s="372">
        <f>IF(AND(E110&gt;0,F110&gt;0),(F110*E110),"")</f>
      </c>
      <c r="H110" s="371">
        <v>115</v>
      </c>
      <c r="I110" s="436" t="e">
        <f>IF(AND(G110&gt;0,H110&gt;0),H110/G110,"")</f>
        <v>#VALUE!</v>
      </c>
      <c r="J110" s="421">
        <v>2.2</v>
      </c>
      <c r="K110" s="485" t="e">
        <f>IF(AND(I110&gt;0,J110&gt;0),I110-J110,"")</f>
        <v>#VALUE!</v>
      </c>
      <c r="L110" s="2"/>
      <c r="M110" s="20"/>
      <c r="N110" s="20"/>
      <c r="O110" s="20"/>
      <c r="P110" s="19"/>
      <c r="R110" s="20"/>
    </row>
    <row r="111" spans="1:18" ht="15.75" thickBot="1">
      <c r="A111" s="3"/>
      <c r="B111" s="660"/>
      <c r="C111" s="422" t="s">
        <v>373</v>
      </c>
      <c r="D111" s="423"/>
      <c r="E111" s="475">
        <f>IF(ISBLANK(D111),"",D111*30)</f>
      </c>
      <c r="F111" s="373"/>
      <c r="G111" s="476">
        <f>IF(AND(E111&gt;0,F111&gt;0),(F111*E111),"")</f>
      </c>
      <c r="H111" s="373"/>
      <c r="I111" s="477">
        <f>IF(AND(G111&gt;0,H111&gt;0),H111/G111,"")</f>
      </c>
      <c r="J111" s="424"/>
      <c r="K111" s="486">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392</v>
      </c>
      <c r="C114" s="129"/>
      <c r="D114" s="129"/>
      <c r="E114" s="130"/>
      <c r="F114" s="130"/>
      <c r="G114" s="130"/>
      <c r="H114" s="258"/>
      <c r="I114" s="244"/>
      <c r="J114" s="347"/>
      <c r="K114" s="348" t="s">
        <v>371</v>
      </c>
      <c r="L114" s="130"/>
      <c r="M114" s="349"/>
      <c r="N114" s="350"/>
      <c r="O114" s="350"/>
      <c r="P114" s="426"/>
      <c r="Q114" s="36"/>
    </row>
    <row r="115" spans="1:19" ht="15.75" thickBot="1">
      <c r="A115" s="3"/>
      <c r="B115" s="3"/>
      <c r="C115" s="3"/>
      <c r="D115" s="3"/>
      <c r="E115" s="3"/>
      <c r="F115" s="3"/>
      <c r="G115" s="3"/>
      <c r="H115" s="3" t="s">
        <v>415</v>
      </c>
      <c r="I115" s="3" t="s">
        <v>416</v>
      </c>
      <c r="J115" s="3" t="s">
        <v>417</v>
      </c>
      <c r="K115" s="3" t="s">
        <v>418</v>
      </c>
      <c r="L115" s="3" t="s">
        <v>419</v>
      </c>
      <c r="M115" s="3" t="s">
        <v>420</v>
      </c>
      <c r="N115" s="3" t="s">
        <v>421</v>
      </c>
      <c r="O115" s="3" t="s">
        <v>422</v>
      </c>
      <c r="P115" s="491" t="s">
        <v>423</v>
      </c>
      <c r="Q115" s="491" t="s">
        <v>424</v>
      </c>
      <c r="R115" s="491" t="s">
        <v>425</v>
      </c>
      <c r="S115" s="491" t="s">
        <v>426</v>
      </c>
    </row>
    <row r="116" spans="1:20" ht="15">
      <c r="A116" s="3"/>
      <c r="B116" s="690" t="s">
        <v>398</v>
      </c>
      <c r="C116" s="691"/>
      <c r="D116" s="692"/>
      <c r="E116" s="333" t="s">
        <v>327</v>
      </c>
      <c r="F116" s="287" t="s">
        <v>344</v>
      </c>
      <c r="G116" s="248"/>
      <c r="H116" s="402" t="s">
        <v>106</v>
      </c>
      <c r="I116" s="402" t="s">
        <v>107</v>
      </c>
      <c r="J116" s="402" t="s">
        <v>108</v>
      </c>
      <c r="K116" s="402" t="s">
        <v>109</v>
      </c>
      <c r="L116" s="402" t="s">
        <v>120</v>
      </c>
      <c r="M116" s="402" t="s">
        <v>121</v>
      </c>
      <c r="N116" s="402" t="s">
        <v>122</v>
      </c>
      <c r="O116" s="402" t="s">
        <v>123</v>
      </c>
      <c r="P116" s="402" t="s">
        <v>124</v>
      </c>
      <c r="Q116" s="402" t="s">
        <v>125</v>
      </c>
      <c r="R116" s="402" t="s">
        <v>126</v>
      </c>
      <c r="S116" s="403" t="s">
        <v>287</v>
      </c>
      <c r="T116" s="64"/>
    </row>
    <row r="117" spans="1:20" ht="1.5" customHeight="1">
      <c r="A117" s="3"/>
      <c r="B117" s="452"/>
      <c r="C117" s="453"/>
      <c r="D117" s="453"/>
      <c r="E117" s="454"/>
      <c r="F117" s="455"/>
      <c r="G117" s="456"/>
      <c r="H117" s="457"/>
      <c r="I117" s="457"/>
      <c r="J117" s="457"/>
      <c r="K117" s="457"/>
      <c r="L117" s="457"/>
      <c r="M117" s="457"/>
      <c r="N117" s="457"/>
      <c r="O117" s="457"/>
      <c r="P117" s="457"/>
      <c r="Q117" s="457"/>
      <c r="R117" s="457"/>
      <c r="S117" s="458"/>
      <c r="T117" s="64"/>
    </row>
    <row r="118" spans="1:20" ht="15" customHeight="1">
      <c r="A118" s="695" t="s">
        <v>375</v>
      </c>
      <c r="B118" s="644" t="s">
        <v>433</v>
      </c>
      <c r="C118" s="645"/>
      <c r="D118" s="645"/>
      <c r="E118" s="630"/>
      <c r="F118" s="632"/>
      <c r="G118" s="249" t="s">
        <v>86</v>
      </c>
      <c r="H118" s="133">
        <f>23153*0.75</f>
        <v>17364.75</v>
      </c>
      <c r="I118" s="133">
        <v>23153</v>
      </c>
      <c r="J118" s="133"/>
      <c r="K118" s="282"/>
      <c r="L118" s="133"/>
      <c r="M118" s="133"/>
      <c r="N118" s="133"/>
      <c r="O118" s="133"/>
      <c r="P118" s="133"/>
      <c r="Q118" s="133"/>
      <c r="R118" s="133"/>
      <c r="S118" s="134"/>
      <c r="T118" s="64"/>
    </row>
    <row r="119" spans="1:20" ht="15">
      <c r="A119" s="695"/>
      <c r="B119" s="616"/>
      <c r="C119" s="617"/>
      <c r="D119" s="617"/>
      <c r="E119" s="631"/>
      <c r="F119" s="632"/>
      <c r="G119" s="249" t="s">
        <v>87</v>
      </c>
      <c r="H119" s="133">
        <v>11025</v>
      </c>
      <c r="I119" s="133">
        <v>14891</v>
      </c>
      <c r="J119" s="133"/>
      <c r="K119" s="282"/>
      <c r="L119" s="133"/>
      <c r="M119" s="133"/>
      <c r="N119" s="133"/>
      <c r="O119" s="133"/>
      <c r="P119" s="133"/>
      <c r="Q119" s="133"/>
      <c r="R119" s="133"/>
      <c r="S119" s="134"/>
      <c r="T119" s="64"/>
    </row>
    <row r="120" spans="1:20" ht="15" customHeight="1">
      <c r="A120" s="695"/>
      <c r="B120" s="616" t="s">
        <v>434</v>
      </c>
      <c r="C120" s="617"/>
      <c r="D120" s="617"/>
      <c r="E120" s="622"/>
      <c r="F120" s="633"/>
      <c r="G120" s="463" t="s">
        <v>86</v>
      </c>
      <c r="H120" s="245">
        <f>11345*0.75</f>
        <v>8508.75</v>
      </c>
      <c r="I120" s="245">
        <v>11345</v>
      </c>
      <c r="J120" s="245"/>
      <c r="K120" s="283"/>
      <c r="L120" s="245"/>
      <c r="M120" s="245"/>
      <c r="N120" s="245"/>
      <c r="O120" s="245"/>
      <c r="P120" s="245"/>
      <c r="Q120" s="245"/>
      <c r="R120" s="245"/>
      <c r="S120" s="330"/>
      <c r="T120" s="64"/>
    </row>
    <row r="121" spans="1:20" ht="15">
      <c r="A121" s="695"/>
      <c r="B121" s="616"/>
      <c r="C121" s="617"/>
      <c r="D121" s="617"/>
      <c r="E121" s="622"/>
      <c r="F121" s="634"/>
      <c r="G121" s="463" t="s">
        <v>87</v>
      </c>
      <c r="H121" s="245">
        <v>5642</v>
      </c>
      <c r="I121" s="245">
        <f>'[2]Cases (All forms)'!$E$77</f>
        <v>8178</v>
      </c>
      <c r="J121" s="331"/>
      <c r="K121" s="332"/>
      <c r="L121" s="331"/>
      <c r="M121" s="331"/>
      <c r="N121" s="331"/>
      <c r="O121" s="331"/>
      <c r="P121" s="245"/>
      <c r="Q121" s="245"/>
      <c r="R121" s="245"/>
      <c r="S121" s="330"/>
      <c r="T121" s="64"/>
    </row>
    <row r="122" spans="1:20" ht="15" customHeight="1">
      <c r="A122" s="695"/>
      <c r="B122" s="616" t="s">
        <v>435</v>
      </c>
      <c r="C122" s="617"/>
      <c r="D122" s="617"/>
      <c r="E122" s="620"/>
      <c r="F122" s="652"/>
      <c r="G122" s="249" t="s">
        <v>86</v>
      </c>
      <c r="H122" s="503">
        <v>0.87</v>
      </c>
      <c r="I122" s="503">
        <v>0.87</v>
      </c>
      <c r="J122" s="133"/>
      <c r="K122" s="133"/>
      <c r="L122" s="133"/>
      <c r="M122" s="133"/>
      <c r="N122" s="133"/>
      <c r="O122" s="133"/>
      <c r="P122" s="133"/>
      <c r="Q122" s="133"/>
      <c r="R122" s="133"/>
      <c r="S122" s="134"/>
      <c r="T122" s="64"/>
    </row>
    <row r="123" spans="1:20" ht="15">
      <c r="A123" s="695"/>
      <c r="B123" s="616"/>
      <c r="C123" s="617"/>
      <c r="D123" s="617"/>
      <c r="E123" s="620"/>
      <c r="F123" s="653"/>
      <c r="G123" s="249" t="s">
        <v>87</v>
      </c>
      <c r="H123" s="503">
        <v>0.84</v>
      </c>
      <c r="I123" s="503">
        <f>'[1]Outcomes'!$M$13</f>
        <v>0.8526803983085527</v>
      </c>
      <c r="J123" s="133"/>
      <c r="K123" s="133"/>
      <c r="L123" s="133"/>
      <c r="M123" s="133"/>
      <c r="N123" s="133"/>
      <c r="O123" s="133"/>
      <c r="P123" s="133"/>
      <c r="Q123" s="133"/>
      <c r="R123" s="133"/>
      <c r="S123" s="134"/>
      <c r="T123" s="64"/>
    </row>
    <row r="124" spans="1:20" ht="15" customHeight="1">
      <c r="A124" s="3"/>
      <c r="B124" s="616" t="s">
        <v>436</v>
      </c>
      <c r="C124" s="617"/>
      <c r="D124" s="617"/>
      <c r="E124" s="622"/>
      <c r="F124" s="648"/>
      <c r="G124" s="463" t="s">
        <v>86</v>
      </c>
      <c r="H124" s="332" t="s">
        <v>432</v>
      </c>
      <c r="I124" s="504">
        <v>0.65</v>
      </c>
      <c r="J124" s="245"/>
      <c r="K124" s="283"/>
      <c r="L124" s="245"/>
      <c r="M124" s="245"/>
      <c r="N124" s="245"/>
      <c r="O124" s="245"/>
      <c r="P124" s="245"/>
      <c r="Q124" s="245"/>
      <c r="R124" s="245"/>
      <c r="S124" s="330"/>
      <c r="T124" s="64"/>
    </row>
    <row r="125" spans="1:20" ht="15">
      <c r="A125" s="3"/>
      <c r="B125" s="616"/>
      <c r="C125" s="617"/>
      <c r="D125" s="617"/>
      <c r="E125" s="622"/>
      <c r="F125" s="634"/>
      <c r="G125" s="463" t="s">
        <v>87</v>
      </c>
      <c r="H125" s="332" t="s">
        <v>432</v>
      </c>
      <c r="I125" s="504">
        <f>269/296</f>
        <v>0.9087837837837838</v>
      </c>
      <c r="J125" s="245"/>
      <c r="K125" s="283"/>
      <c r="L125" s="245"/>
      <c r="M125" s="245"/>
      <c r="N125" s="245"/>
      <c r="O125" s="245"/>
      <c r="P125" s="245"/>
      <c r="Q125" s="245"/>
      <c r="R125" s="245"/>
      <c r="S125" s="330"/>
      <c r="T125" s="64"/>
    </row>
    <row r="126" spans="1:20" ht="15" customHeight="1">
      <c r="A126" s="3"/>
      <c r="B126" s="616" t="s">
        <v>437</v>
      </c>
      <c r="C126" s="617"/>
      <c r="D126" s="617"/>
      <c r="E126" s="620"/>
      <c r="F126" s="652"/>
      <c r="G126" s="464" t="s">
        <v>86</v>
      </c>
      <c r="H126" s="499">
        <v>1</v>
      </c>
      <c r="I126" s="501">
        <v>1</v>
      </c>
      <c r="J126" s="465"/>
      <c r="K126" s="466"/>
      <c r="L126" s="465"/>
      <c r="M126" s="465"/>
      <c r="N126" s="465"/>
      <c r="O126" s="465"/>
      <c r="P126" s="465"/>
      <c r="Q126" s="465"/>
      <c r="R126" s="465"/>
      <c r="S126" s="467"/>
      <c r="T126" s="64"/>
    </row>
    <row r="127" spans="1:20" ht="15">
      <c r="A127" s="3"/>
      <c r="B127" s="616"/>
      <c r="C127" s="617"/>
      <c r="D127" s="617"/>
      <c r="E127" s="620"/>
      <c r="F127" s="653"/>
      <c r="G127" s="464" t="s">
        <v>87</v>
      </c>
      <c r="H127" s="501">
        <v>1</v>
      </c>
      <c r="I127" s="501">
        <v>1</v>
      </c>
      <c r="J127" s="465"/>
      <c r="K127" s="466"/>
      <c r="L127" s="465"/>
      <c r="M127" s="465"/>
      <c r="N127" s="465"/>
      <c r="O127" s="465"/>
      <c r="P127" s="465"/>
      <c r="Q127" s="465"/>
      <c r="R127" s="465"/>
      <c r="S127" s="467"/>
      <c r="T127" s="64"/>
    </row>
    <row r="128" spans="1:20" ht="15" customHeight="1">
      <c r="A128" s="3"/>
      <c r="B128" s="616" t="s">
        <v>438</v>
      </c>
      <c r="C128" s="617"/>
      <c r="D128" s="617"/>
      <c r="E128" s="622"/>
      <c r="F128" s="648"/>
      <c r="G128" s="463" t="s">
        <v>86</v>
      </c>
      <c r="H128" s="500">
        <v>0.06</v>
      </c>
      <c r="I128" s="502">
        <v>0.06</v>
      </c>
      <c r="J128" s="331"/>
      <c r="K128" s="332"/>
      <c r="L128" s="331"/>
      <c r="M128" s="331"/>
      <c r="N128" s="331"/>
      <c r="O128" s="331"/>
      <c r="P128" s="331"/>
      <c r="Q128" s="331"/>
      <c r="R128" s="331"/>
      <c r="S128" s="468"/>
      <c r="T128" s="64"/>
    </row>
    <row r="129" spans="1:20" ht="15">
      <c r="A129" s="3"/>
      <c r="B129" s="616"/>
      <c r="C129" s="617"/>
      <c r="D129" s="617"/>
      <c r="E129" s="622"/>
      <c r="F129" s="634"/>
      <c r="G129" s="463" t="s">
        <v>87</v>
      </c>
      <c r="H129" s="502">
        <f>250/9915</f>
        <v>0.025214321734745335</v>
      </c>
      <c r="I129" s="502">
        <f>342/14999</f>
        <v>0.022801520101340088</v>
      </c>
      <c r="J129" s="245"/>
      <c r="K129" s="283"/>
      <c r="L129" s="245"/>
      <c r="M129" s="245"/>
      <c r="N129" s="245"/>
      <c r="O129" s="245"/>
      <c r="P129" s="331"/>
      <c r="Q129" s="331"/>
      <c r="R129" s="331"/>
      <c r="S129" s="468"/>
      <c r="T129" s="64"/>
    </row>
    <row r="130" spans="1:20" ht="15" customHeight="1">
      <c r="A130" s="3"/>
      <c r="B130" s="673" t="s">
        <v>439</v>
      </c>
      <c r="C130" s="674"/>
      <c r="D130" s="674"/>
      <c r="E130" s="620"/>
      <c r="F130" s="632"/>
      <c r="G130" s="464" t="s">
        <v>86</v>
      </c>
      <c r="H130" s="499">
        <v>0.5</v>
      </c>
      <c r="I130" s="499">
        <v>0.5</v>
      </c>
      <c r="J130" s="465"/>
      <c r="K130" s="466"/>
      <c r="L130" s="465"/>
      <c r="M130" s="465"/>
      <c r="N130" s="465"/>
      <c r="O130" s="465"/>
      <c r="P130" s="465"/>
      <c r="Q130" s="465"/>
      <c r="R130" s="465"/>
      <c r="S130" s="467"/>
      <c r="T130" s="64"/>
    </row>
    <row r="131" spans="1:20" ht="15">
      <c r="A131" s="3"/>
      <c r="B131" s="616"/>
      <c r="C131" s="617"/>
      <c r="D131" s="617"/>
      <c r="E131" s="620"/>
      <c r="F131" s="632"/>
      <c r="G131" s="464" t="s">
        <v>87</v>
      </c>
      <c r="H131" s="499">
        <f>534/643</f>
        <v>0.8304821150855366</v>
      </c>
      <c r="I131" s="499">
        <f>745/1170</f>
        <v>0.6367521367521367</v>
      </c>
      <c r="J131" s="465"/>
      <c r="K131" s="466"/>
      <c r="L131" s="465"/>
      <c r="M131" s="465"/>
      <c r="N131" s="465"/>
      <c r="O131" s="465"/>
      <c r="P131" s="465"/>
      <c r="Q131" s="465"/>
      <c r="R131" s="465"/>
      <c r="S131" s="467"/>
      <c r="T131" s="64"/>
    </row>
    <row r="132" spans="1:20" ht="14.25" customHeight="1">
      <c r="A132" s="3"/>
      <c r="B132" s="616" t="s">
        <v>440</v>
      </c>
      <c r="C132" s="617"/>
      <c r="D132" s="617"/>
      <c r="E132" s="675"/>
      <c r="F132" s="624"/>
      <c r="G132" s="463" t="s">
        <v>86</v>
      </c>
      <c r="H132" s="331">
        <f>137*0.75</f>
        <v>102.75</v>
      </c>
      <c r="I132" s="331">
        <v>137</v>
      </c>
      <c r="J132" s="331"/>
      <c r="K132" s="331"/>
      <c r="L132" s="331"/>
      <c r="M132" s="331"/>
      <c r="N132" s="331"/>
      <c r="O132" s="331"/>
      <c r="P132" s="331"/>
      <c r="Q132" s="331"/>
      <c r="R132" s="331"/>
      <c r="S132" s="468"/>
      <c r="T132" s="64"/>
    </row>
    <row r="133" spans="1:20" ht="15">
      <c r="A133" s="3"/>
      <c r="B133" s="616"/>
      <c r="C133" s="617"/>
      <c r="D133" s="617"/>
      <c r="E133" s="675"/>
      <c r="F133" s="624"/>
      <c r="G133" s="463" t="s">
        <v>87</v>
      </c>
      <c r="H133" s="331">
        <v>34</v>
      </c>
      <c r="I133" s="331">
        <v>62</v>
      </c>
      <c r="J133" s="331"/>
      <c r="K133" s="331"/>
      <c r="L133" s="331"/>
      <c r="M133" s="331"/>
      <c r="N133" s="331"/>
      <c r="O133" s="331"/>
      <c r="P133" s="331"/>
      <c r="Q133" s="331"/>
      <c r="R133" s="331"/>
      <c r="S133" s="468"/>
      <c r="T133" s="64"/>
    </row>
    <row r="134" spans="1:20" ht="14.25" customHeight="1">
      <c r="A134" s="3"/>
      <c r="B134" s="616" t="s">
        <v>441</v>
      </c>
      <c r="C134" s="617"/>
      <c r="D134" s="617"/>
      <c r="E134" s="620"/>
      <c r="F134" s="621"/>
      <c r="G134" s="464" t="s">
        <v>86</v>
      </c>
      <c r="H134" s="466">
        <f>137*0.75</f>
        <v>102.75</v>
      </c>
      <c r="I134" s="466">
        <v>62</v>
      </c>
      <c r="J134" s="465"/>
      <c r="K134" s="465"/>
      <c r="L134" s="465"/>
      <c r="M134" s="465"/>
      <c r="N134" s="465"/>
      <c r="O134" s="465"/>
      <c r="P134" s="465"/>
      <c r="Q134" s="465"/>
      <c r="R134" s="465"/>
      <c r="S134" s="467"/>
      <c r="T134" s="64"/>
    </row>
    <row r="135" spans="1:20" ht="15">
      <c r="A135" s="3"/>
      <c r="B135" s="616"/>
      <c r="C135" s="617"/>
      <c r="D135" s="617"/>
      <c r="E135" s="620"/>
      <c r="F135" s="621"/>
      <c r="G135" s="464" t="s">
        <v>87</v>
      </c>
      <c r="H135" s="466">
        <v>30</v>
      </c>
      <c r="I135" s="466">
        <v>60</v>
      </c>
      <c r="J135" s="465"/>
      <c r="K135" s="465"/>
      <c r="L135" s="465"/>
      <c r="M135" s="465"/>
      <c r="N135" s="465"/>
      <c r="O135" s="465"/>
      <c r="P135" s="465"/>
      <c r="Q135" s="465"/>
      <c r="R135" s="465"/>
      <c r="S135" s="467"/>
      <c r="T135" s="64"/>
    </row>
    <row r="136" spans="1:20" ht="14.25" customHeight="1">
      <c r="A136" s="3"/>
      <c r="B136" s="644" t="s">
        <v>442</v>
      </c>
      <c r="C136" s="645"/>
      <c r="D136" s="645"/>
      <c r="E136" s="622"/>
      <c r="F136" s="624"/>
      <c r="G136" s="463" t="s">
        <v>86</v>
      </c>
      <c r="H136" s="500">
        <v>0.75</v>
      </c>
      <c r="I136" s="500">
        <v>0.75</v>
      </c>
      <c r="J136" s="331"/>
      <c r="K136" s="331"/>
      <c r="L136" s="331"/>
      <c r="M136" s="331"/>
      <c r="N136" s="331"/>
      <c r="O136" s="331"/>
      <c r="P136" s="331"/>
      <c r="Q136" s="331"/>
      <c r="R136" s="331"/>
      <c r="S136" s="468"/>
      <c r="T136" s="64"/>
    </row>
    <row r="137" spans="1:20" ht="15.75" thickBot="1">
      <c r="A137" s="3"/>
      <c r="B137" s="616"/>
      <c r="C137" s="617"/>
      <c r="D137" s="617"/>
      <c r="E137" s="623"/>
      <c r="F137" s="625"/>
      <c r="G137" s="469" t="s">
        <v>87</v>
      </c>
      <c r="H137" s="505">
        <f>8832/11025</f>
        <v>0.8010884353741496</v>
      </c>
      <c r="I137" s="505">
        <f>11959/14891</f>
        <v>0.8031025451615069</v>
      </c>
      <c r="J137" s="470"/>
      <c r="K137" s="470"/>
      <c r="L137" s="470"/>
      <c r="M137" s="470"/>
      <c r="N137" s="470"/>
      <c r="O137" s="470"/>
      <c r="P137" s="470"/>
      <c r="Q137" s="470"/>
      <c r="R137" s="470"/>
      <c r="S137" s="471"/>
      <c r="T137" s="64"/>
    </row>
    <row r="138" spans="1:19" ht="15">
      <c r="A138" s="3"/>
      <c r="B138" s="616" t="s">
        <v>443</v>
      </c>
      <c r="C138" s="617"/>
      <c r="D138" s="617"/>
      <c r="E138" s="620"/>
      <c r="F138" s="621"/>
      <c r="G138" s="464" t="s">
        <v>86</v>
      </c>
      <c r="H138" s="501">
        <v>0.75</v>
      </c>
      <c r="I138" s="500">
        <v>0.75</v>
      </c>
      <c r="J138" s="3"/>
      <c r="K138" s="3"/>
      <c r="L138" s="3"/>
      <c r="M138" s="3"/>
      <c r="N138" s="3"/>
      <c r="O138" s="3"/>
      <c r="R138" s="36"/>
      <c r="S138" s="36"/>
    </row>
    <row r="139" spans="1:19" ht="15.75" thickBot="1">
      <c r="A139" s="3"/>
      <c r="B139" s="616"/>
      <c r="C139" s="617"/>
      <c r="D139" s="617"/>
      <c r="E139" s="620"/>
      <c r="F139" s="621"/>
      <c r="G139" s="464" t="s">
        <v>87</v>
      </c>
      <c r="H139" s="501">
        <f>827/1968</f>
        <v>0.42022357723577236</v>
      </c>
      <c r="I139" s="505">
        <f>1002/2238</f>
        <v>0.4477211796246649</v>
      </c>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5"/>
      <c r="C141" s="3"/>
      <c r="D141" s="3"/>
      <c r="E141" s="3"/>
      <c r="F141" s="3"/>
      <c r="G141" s="2"/>
      <c r="H141" s="3"/>
      <c r="I141" s="3"/>
      <c r="J141" s="3"/>
      <c r="K141" s="3"/>
      <c r="L141" s="3"/>
      <c r="M141" s="3"/>
      <c r="N141" s="3"/>
      <c r="O141" s="3"/>
      <c r="R141" s="36"/>
      <c r="S141" s="36"/>
    </row>
    <row r="142" spans="1:21" ht="15.75" thickBot="1">
      <c r="A142" s="3"/>
      <c r="B142" s="3" t="s">
        <v>406</v>
      </c>
      <c r="C142" s="3"/>
      <c r="D142" s="3"/>
      <c r="E142" s="333" t="s">
        <v>327</v>
      </c>
      <c r="F142" s="287" t="s">
        <v>344</v>
      </c>
      <c r="G142" s="248"/>
      <c r="H142" s="402" t="str">
        <f aca="true" t="shared" si="6" ref="H142:S142">C30</f>
        <v>P1</v>
      </c>
      <c r="I142" s="402" t="str">
        <f t="shared" si="6"/>
        <v>P2</v>
      </c>
      <c r="J142" s="402" t="str">
        <f t="shared" si="6"/>
        <v>P3</v>
      </c>
      <c r="K142" s="402" t="str">
        <f t="shared" si="6"/>
        <v>P4</v>
      </c>
      <c r="L142" s="402" t="str">
        <f t="shared" si="6"/>
        <v>P5</v>
      </c>
      <c r="M142" s="402" t="str">
        <f t="shared" si="6"/>
        <v>P6</v>
      </c>
      <c r="N142" s="402" t="str">
        <f t="shared" si="6"/>
        <v>P7</v>
      </c>
      <c r="O142" s="402" t="str">
        <f t="shared" si="6"/>
        <v>P8</v>
      </c>
      <c r="P142" s="402" t="str">
        <f t="shared" si="6"/>
        <v>P9</v>
      </c>
      <c r="Q142" s="402" t="str">
        <f t="shared" si="6"/>
        <v>P10</v>
      </c>
      <c r="R142" s="402" t="str">
        <f t="shared" si="6"/>
        <v>P11</v>
      </c>
      <c r="S142" s="403" t="str">
        <f t="shared" si="6"/>
        <v>P12</v>
      </c>
      <c r="T142" s="36"/>
      <c r="U142" s="36"/>
    </row>
    <row r="143" spans="1:21" ht="15">
      <c r="A143" s="3"/>
      <c r="B143" s="664" t="str">
        <f>IF(ISBLANK(B118),"",(B118))</f>
        <v>DOTS-1a: Number of notified cases of all forms of TB - bacteriologically confirmed plus clinically diagnosed, new and relapses</v>
      </c>
      <c r="C143" s="665"/>
      <c r="D143" s="666"/>
      <c r="E143" s="626">
        <f>IF(ISBLANK(E118),"",(E118))</f>
      </c>
      <c r="F143" s="618">
        <f>IF(ISBLANK(F118),"",(F118))</f>
      </c>
      <c r="G143" s="361" t="s">
        <v>86</v>
      </c>
      <c r="H143" s="434">
        <f aca="true" t="shared" si="7" ref="H143:S143">H118</f>
        <v>17364.75</v>
      </c>
      <c r="I143" s="434">
        <f t="shared" si="7"/>
        <v>23153</v>
      </c>
      <c r="J143" s="434">
        <f t="shared" si="7"/>
        <v>0</v>
      </c>
      <c r="K143" s="434">
        <f t="shared" si="7"/>
        <v>0</v>
      </c>
      <c r="L143" s="434">
        <f t="shared" si="7"/>
        <v>0</v>
      </c>
      <c r="M143" s="434">
        <f t="shared" si="7"/>
        <v>0</v>
      </c>
      <c r="N143" s="434">
        <f t="shared" si="7"/>
        <v>0</v>
      </c>
      <c r="O143" s="434">
        <f t="shared" si="7"/>
        <v>0</v>
      </c>
      <c r="P143" s="434">
        <f t="shared" si="7"/>
        <v>0</v>
      </c>
      <c r="Q143" s="434">
        <f t="shared" si="7"/>
        <v>0</v>
      </c>
      <c r="R143" s="434">
        <f t="shared" si="7"/>
        <v>0</v>
      </c>
      <c r="S143" s="487">
        <f t="shared" si="7"/>
        <v>0</v>
      </c>
      <c r="T143" s="36"/>
      <c r="U143" s="36"/>
    </row>
    <row r="144" spans="1:21" ht="15">
      <c r="A144" s="3"/>
      <c r="B144" s="667"/>
      <c r="C144" s="668"/>
      <c r="D144" s="669"/>
      <c r="E144" s="626"/>
      <c r="F144" s="618"/>
      <c r="G144" s="131" t="s">
        <v>87</v>
      </c>
      <c r="H144" s="434">
        <f aca="true" t="shared" si="8" ref="H144:K148">H119</f>
        <v>11025</v>
      </c>
      <c r="I144" s="434">
        <f t="shared" si="8"/>
        <v>14891</v>
      </c>
      <c r="J144" s="434">
        <f t="shared" si="8"/>
        <v>0</v>
      </c>
      <c r="K144" s="434">
        <f t="shared" si="8"/>
        <v>0</v>
      </c>
      <c r="L144" s="434">
        <f aca="true" t="shared" si="9" ref="L144:S144">L119</f>
        <v>0</v>
      </c>
      <c r="M144" s="434">
        <f t="shared" si="9"/>
        <v>0</v>
      </c>
      <c r="N144" s="434">
        <f t="shared" si="9"/>
        <v>0</v>
      </c>
      <c r="O144" s="434">
        <f t="shared" si="9"/>
        <v>0</v>
      </c>
      <c r="P144" s="434">
        <f t="shared" si="9"/>
        <v>0</v>
      </c>
      <c r="Q144" s="434">
        <f t="shared" si="9"/>
        <v>0</v>
      </c>
      <c r="R144" s="434">
        <f t="shared" si="9"/>
        <v>0</v>
      </c>
      <c r="S144" s="487">
        <f t="shared" si="9"/>
        <v>0</v>
      </c>
      <c r="T144" s="36"/>
      <c r="U144" s="36"/>
    </row>
    <row r="145" spans="1:21" ht="15">
      <c r="A145" s="3"/>
      <c r="B145" s="670" t="str">
        <f>IF(ISBLANK(B120),"",(B120))</f>
        <v>DOTS-1b: Number of notified cases of bacteriologically confirmed TB, new and relapses</v>
      </c>
      <c r="C145" s="671"/>
      <c r="D145" s="672"/>
      <c r="E145" s="646">
        <f>IF(ISBLANK(E120),"",(E120))</f>
      </c>
      <c r="F145" s="647">
        <f>IF(ISBLANK(F120),"",(F120))</f>
      </c>
      <c r="G145" s="472" t="s">
        <v>86</v>
      </c>
      <c r="H145" s="473">
        <f t="shared" si="8"/>
        <v>8508.75</v>
      </c>
      <c r="I145" s="473">
        <f>I120</f>
        <v>11345</v>
      </c>
      <c r="J145" s="473">
        <f t="shared" si="8"/>
        <v>0</v>
      </c>
      <c r="K145" s="473">
        <f>K120</f>
        <v>0</v>
      </c>
      <c r="L145" s="473">
        <f aca="true" t="shared" si="10" ref="L145:S145">L120</f>
        <v>0</v>
      </c>
      <c r="M145" s="473">
        <f t="shared" si="10"/>
        <v>0</v>
      </c>
      <c r="N145" s="473">
        <f t="shared" si="10"/>
        <v>0</v>
      </c>
      <c r="O145" s="473">
        <f t="shared" si="10"/>
        <v>0</v>
      </c>
      <c r="P145" s="473">
        <f t="shared" si="10"/>
        <v>0</v>
      </c>
      <c r="Q145" s="473">
        <f t="shared" si="10"/>
        <v>0</v>
      </c>
      <c r="R145" s="473">
        <f t="shared" si="10"/>
        <v>0</v>
      </c>
      <c r="S145" s="488">
        <f t="shared" si="10"/>
        <v>0</v>
      </c>
      <c r="T145" s="36"/>
      <c r="U145" s="36"/>
    </row>
    <row r="146" spans="1:21" ht="15">
      <c r="A146" s="3"/>
      <c r="B146" s="670"/>
      <c r="C146" s="671"/>
      <c r="D146" s="672"/>
      <c r="E146" s="646"/>
      <c r="F146" s="647"/>
      <c r="G146" s="472" t="s">
        <v>87</v>
      </c>
      <c r="H146" s="473">
        <f t="shared" si="8"/>
        <v>5642</v>
      </c>
      <c r="I146" s="473">
        <f t="shared" si="8"/>
        <v>8178</v>
      </c>
      <c r="J146" s="473">
        <f t="shared" si="8"/>
        <v>0</v>
      </c>
      <c r="K146" s="473">
        <f t="shared" si="8"/>
        <v>0</v>
      </c>
      <c r="L146" s="473">
        <f aca="true" t="shared" si="11" ref="L146:S146">L121</f>
        <v>0</v>
      </c>
      <c r="M146" s="473">
        <f t="shared" si="11"/>
        <v>0</v>
      </c>
      <c r="N146" s="473">
        <f t="shared" si="11"/>
        <v>0</v>
      </c>
      <c r="O146" s="473">
        <f t="shared" si="11"/>
        <v>0</v>
      </c>
      <c r="P146" s="473">
        <f t="shared" si="11"/>
        <v>0</v>
      </c>
      <c r="Q146" s="473">
        <f t="shared" si="11"/>
        <v>0</v>
      </c>
      <c r="R146" s="473">
        <f t="shared" si="11"/>
        <v>0</v>
      </c>
      <c r="S146" s="488">
        <f t="shared" si="11"/>
        <v>0</v>
      </c>
      <c r="T146" s="36"/>
      <c r="U146" s="36"/>
    </row>
    <row r="147" spans="1:21" ht="15">
      <c r="A147" s="3"/>
      <c r="B147" s="638" t="str">
        <f>IF(ISBLANK(B122),"",(B122))</f>
        <v>DOTS-2a: Percentage of TB cases, all forms, bacteriologically confirmed plus clinically diagnosed, successfully treated (cured plus treatment completed) among all new TB cases registered for treatment during a specified period</v>
      </c>
      <c r="C147" s="639"/>
      <c r="D147" s="640"/>
      <c r="E147" s="626">
        <f>IF(ISBLANK(E122),"",(E122))</f>
      </c>
      <c r="F147" s="618">
        <f>IF(ISBLANK(F122),"",(F122))</f>
      </c>
      <c r="G147" s="131" t="s">
        <v>86</v>
      </c>
      <c r="H147" s="434">
        <f t="shared" si="8"/>
        <v>0.87</v>
      </c>
      <c r="I147" s="434">
        <f t="shared" si="8"/>
        <v>0.87</v>
      </c>
      <c r="J147" s="434">
        <f t="shared" si="8"/>
        <v>0</v>
      </c>
      <c r="K147" s="434">
        <f t="shared" si="8"/>
        <v>0</v>
      </c>
      <c r="L147" s="434">
        <f aca="true" t="shared" si="12" ref="L147:S147">L122</f>
        <v>0</v>
      </c>
      <c r="M147" s="434">
        <f t="shared" si="12"/>
        <v>0</v>
      </c>
      <c r="N147" s="434">
        <f t="shared" si="12"/>
        <v>0</v>
      </c>
      <c r="O147" s="434">
        <f t="shared" si="12"/>
        <v>0</v>
      </c>
      <c r="P147" s="434">
        <f t="shared" si="12"/>
        <v>0</v>
      </c>
      <c r="Q147" s="434">
        <f t="shared" si="12"/>
        <v>0</v>
      </c>
      <c r="R147" s="434">
        <f t="shared" si="12"/>
        <v>0</v>
      </c>
      <c r="S147" s="487">
        <f t="shared" si="12"/>
        <v>0</v>
      </c>
      <c r="T147" s="36"/>
      <c r="U147" s="36"/>
    </row>
    <row r="148" spans="1:21" ht="15.75" thickBot="1">
      <c r="A148" s="3"/>
      <c r="B148" s="641"/>
      <c r="C148" s="642"/>
      <c r="D148" s="643"/>
      <c r="E148" s="649"/>
      <c r="F148" s="619"/>
      <c r="G148" s="132" t="s">
        <v>87</v>
      </c>
      <c r="H148" s="435">
        <f t="shared" si="8"/>
        <v>0.84</v>
      </c>
      <c r="I148" s="435">
        <f t="shared" si="8"/>
        <v>0.8526803983085527</v>
      </c>
      <c r="J148" s="435">
        <f t="shared" si="8"/>
        <v>0</v>
      </c>
      <c r="K148" s="435">
        <f t="shared" si="8"/>
        <v>0</v>
      </c>
      <c r="L148" s="435">
        <f aca="true" t="shared" si="13" ref="L148:S148">L123</f>
        <v>0</v>
      </c>
      <c r="M148" s="435">
        <f t="shared" si="13"/>
        <v>0</v>
      </c>
      <c r="N148" s="435">
        <f t="shared" si="13"/>
        <v>0</v>
      </c>
      <c r="O148" s="435">
        <f t="shared" si="13"/>
        <v>0</v>
      </c>
      <c r="P148" s="435">
        <f t="shared" si="13"/>
        <v>0</v>
      </c>
      <c r="Q148" s="435">
        <f t="shared" si="13"/>
        <v>0</v>
      </c>
      <c r="R148" s="435">
        <f t="shared" si="13"/>
        <v>0</v>
      </c>
      <c r="S148" s="489">
        <f t="shared" si="13"/>
        <v>0</v>
      </c>
      <c r="T148" s="36"/>
      <c r="U148" s="36"/>
    </row>
    <row r="149" spans="1:19" ht="15">
      <c r="A149" s="3"/>
      <c r="B149" s="3"/>
      <c r="C149" s="3"/>
      <c r="D149" s="3"/>
      <c r="E149" s="3"/>
      <c r="F149" s="3"/>
      <c r="G149" s="3"/>
      <c r="H149" s="3"/>
      <c r="I149" s="3"/>
      <c r="J149" s="3"/>
      <c r="K149" s="3"/>
      <c r="L149" s="3"/>
      <c r="M149" s="3"/>
      <c r="N149"/>
      <c r="O149"/>
      <c r="P149" s="36"/>
      <c r="Q149" s="36"/>
      <c r="S149" s="474"/>
    </row>
    <row r="150" spans="14:17" ht="15">
      <c r="N150"/>
      <c r="O150"/>
      <c r="P150" s="36"/>
      <c r="Q150" s="36"/>
    </row>
    <row r="151" spans="14:17" ht="15">
      <c r="N151"/>
      <c r="O151"/>
      <c r="P151" s="36"/>
      <c r="Q151" s="36"/>
    </row>
    <row r="152" spans="14:17" ht="15">
      <c r="N152"/>
      <c r="O152"/>
      <c r="P152" s="36"/>
      <c r="Q152" s="36"/>
    </row>
  </sheetData>
  <sheetProtection/>
  <mergeCells count="76">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3:D144"/>
    <mergeCell ref="B145:D146"/>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47:D148"/>
    <mergeCell ref="B136:D137"/>
    <mergeCell ref="E145:E146"/>
    <mergeCell ref="E126:E127"/>
    <mergeCell ref="F145:F146"/>
    <mergeCell ref="F124:F125"/>
    <mergeCell ref="E147:E148"/>
    <mergeCell ref="O31:O34"/>
    <mergeCell ref="E118:E119"/>
    <mergeCell ref="F118:F119"/>
    <mergeCell ref="F120:F121"/>
    <mergeCell ref="E120:E121"/>
    <mergeCell ref="F47:I47"/>
    <mergeCell ref="B138:D139"/>
    <mergeCell ref="F147:F148"/>
    <mergeCell ref="E134:E135"/>
    <mergeCell ref="F134:F135"/>
    <mergeCell ref="E136:E137"/>
    <mergeCell ref="F136:F137"/>
    <mergeCell ref="E143:E144"/>
    <mergeCell ref="F143:F144"/>
    <mergeCell ref="F138:F139"/>
    <mergeCell ref="E138:E139"/>
  </mergeCells>
  <conditionalFormatting sqref="B34 B32 D33:N33">
    <cfRule type="expression" priority="7" dxfId="33" stopIfTrue="1">
      <formula>+AND(B31&gt;=#REF!,B31&lt;=#REF!)</formula>
    </cfRule>
  </conditionalFormatting>
  <conditionalFormatting sqref="D34:N34">
    <cfRule type="expression" priority="8" dxfId="33" stopIfTrue="1">
      <formula>+AND(D32&gt;=#REF!,D32&lt;=#REF!)</formula>
    </cfRule>
  </conditionalFormatting>
  <conditionalFormatting sqref="C30:N30 C94:N94">
    <cfRule type="cellIs" priority="11" dxfId="46" operator="equal" stopIfTrue="1">
      <formula>$C$16</formula>
    </cfRule>
  </conditionalFormatting>
  <conditionalFormatting sqref="C12:D12">
    <cfRule type="cellIs" priority="13" dxfId="47" operator="equal" stopIfTrue="1">
      <formula>"C"</formula>
    </cfRule>
    <cfRule type="cellIs" priority="14" dxfId="48" operator="equal" stopIfTrue="1">
      <formula>"B2"</formula>
    </cfRule>
    <cfRule type="cellIs" priority="15" dxfId="49" operator="equal" stopIfTrue="1">
      <formula>"B1"</formula>
    </cfRule>
  </conditionalFormatting>
  <conditionalFormatting sqref="H116:S117 H142:S142">
    <cfRule type="cellIs" priority="22" dxfId="50" operator="equal" stopIfTrue="1">
      <formula>$C$16</formula>
    </cfRule>
  </conditionalFormatting>
  <conditionalFormatting sqref="F47:I47">
    <cfRule type="expression" priority="23" dxfId="6" stopIfTrue="1">
      <formula>LEFT($F$47,2)="OK"</formula>
    </cfRule>
  </conditionalFormatting>
  <conditionalFormatting sqref="M31">
    <cfRule type="expression" priority="6" dxfId="33" stopIfTrue="1">
      <formula>+AND(M30&gt;=#REF!,M30&lt;=#REF!)</formula>
    </cfRule>
  </conditionalFormatting>
  <conditionalFormatting sqref="E32:I32">
    <cfRule type="expression" priority="5" dxfId="33" stopIfTrue="1">
      <formula>+AND(E31&gt;=#REF!,E31&lt;=#REF!)</formula>
    </cfRule>
  </conditionalFormatting>
  <conditionalFormatting sqref="C33">
    <cfRule type="expression" priority="2" dxfId="33" stopIfTrue="1">
      <formula>+AND(C32&gt;=#REF!,C32&lt;=#REF!)</formula>
    </cfRule>
  </conditionalFormatting>
  <conditionalFormatting sqref="C34">
    <cfRule type="expression" priority="3" dxfId="33" stopIfTrue="1">
      <formula>+AND(C32&gt;=#REF!,C32&lt;=#REF!)</formula>
    </cfRule>
  </conditionalFormatting>
  <conditionalFormatting sqref="C31:C32">
    <cfRule type="expression" priority="1" dxfId="33"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C17" sqref="C17"/>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7"/>
      <c r="H1" s="2"/>
      <c r="I1" s="2"/>
      <c r="J1" s="2"/>
    </row>
    <row r="2" ht="25.5" customHeight="1"/>
    <row r="3" spans="2:20" ht="36">
      <c r="B3" s="707" t="str">
        <f>+"Dashboard: "&amp;" "&amp;+IF('Data Entry'!C4="Please Select","",'Data Entry'!C4&amp;" - ")&amp;+IF('Data Entry'!G6="Please Select","",'Data Entry'!G6)</f>
        <v>Dashboard:  Ghana - TB</v>
      </c>
      <c r="C3" s="707"/>
      <c r="D3" s="707"/>
      <c r="E3" s="707"/>
      <c r="F3" s="707"/>
      <c r="G3" s="707"/>
      <c r="H3" s="707"/>
      <c r="I3" s="707"/>
      <c r="J3" s="707"/>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70" t="s">
        <v>26</v>
      </c>
      <c r="B6" s="708" t="str">
        <f>+IF('Data Entry'!C4="Please Select","",'Data Entry'!C4)</f>
        <v>Ghana</v>
      </c>
      <c r="C6" s="708"/>
      <c r="D6" s="711" t="s">
        <v>12</v>
      </c>
      <c r="E6" s="711"/>
      <c r="F6" s="712" t="str">
        <f>+'Data Entry'!G4</f>
        <v>Accelerating access to prevention and treatment of TB towards attaining the MDGs</v>
      </c>
      <c r="G6" s="712"/>
      <c r="H6" s="712"/>
      <c r="I6" s="712"/>
      <c r="J6" s="712"/>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92" t="s">
        <v>27</v>
      </c>
      <c r="B9" s="352" t="str">
        <f>+IF('Data Entry'!G6="Please Select","",'Data Entry'!G6)</f>
        <v>TB</v>
      </c>
      <c r="C9" s="228" t="s">
        <v>328</v>
      </c>
      <c r="D9" s="353" t="str">
        <f>+'Data Entry'!C6</f>
        <v>GHA-T-MOH</v>
      </c>
      <c r="E9" s="710" t="s">
        <v>13</v>
      </c>
      <c r="F9" s="710"/>
      <c r="G9" s="354">
        <f>+IF(ISBLANK('Data Entry'!C10),"",'Data Entry'!C10)</f>
        <v>42186</v>
      </c>
      <c r="H9" s="392" t="s">
        <v>329</v>
      </c>
      <c r="I9" s="709">
        <f>+IF(ISBLANK('Data Entry'!I6),"",'Data Entry'!I6)</f>
        <v>24902844</v>
      </c>
      <c r="J9" s="709"/>
      <c r="K9" s="50"/>
      <c r="L9" s="50"/>
      <c r="M9" s="50"/>
      <c r="N9" s="50"/>
      <c r="O9" s="52"/>
      <c r="P9" s="51"/>
      <c r="Q9" s="52"/>
      <c r="R9" s="53"/>
      <c r="S9" s="17"/>
      <c r="T9" s="11"/>
      <c r="U9" s="11"/>
      <c r="V9" s="10"/>
      <c r="W9" s="10"/>
      <c r="X9" s="10"/>
    </row>
    <row r="10" spans="1:21" ht="25.5" customHeight="1">
      <c r="A10" s="392" t="s">
        <v>323</v>
      </c>
      <c r="B10" s="355">
        <f>+IF('Data Entry'!G8="Please Select","",'Data Entry'!G8)</f>
        <v>0</v>
      </c>
      <c r="C10" s="228" t="s">
        <v>322</v>
      </c>
      <c r="D10" s="356">
        <f>+IF('Data Entry'!I8="Please Select","",'Data Entry'!I8)</f>
        <v>0</v>
      </c>
      <c r="E10" s="703" t="s">
        <v>268</v>
      </c>
      <c r="F10" s="703"/>
      <c r="G10" s="702" t="str">
        <f>+'Data Entry'!C8</f>
        <v>Ministry of Health / Ghana Health Services</v>
      </c>
      <c r="H10" s="702"/>
      <c r="I10" s="702"/>
      <c r="J10" s="702"/>
      <c r="K10" s="54"/>
      <c r="L10" s="54"/>
      <c r="M10" s="50"/>
      <c r="N10" s="54"/>
      <c r="O10" s="52"/>
      <c r="P10" s="51"/>
      <c r="Q10" s="11"/>
      <c r="R10" s="53"/>
      <c r="S10" s="17"/>
      <c r="T10" s="11"/>
      <c r="U10" s="11"/>
    </row>
    <row r="11" spans="1:21" ht="25.5" customHeight="1">
      <c r="A11" s="392" t="s">
        <v>21</v>
      </c>
      <c r="B11" s="357" t="str">
        <f>+'Data Entry'!C16</f>
        <v>P2</v>
      </c>
      <c r="C11" s="338" t="s">
        <v>266</v>
      </c>
      <c r="D11" s="358">
        <f>+IF(ISBLANK('Data Entry'!E16),"",'Data Entry'!E16)</f>
        <v>42278</v>
      </c>
      <c r="E11" s="710" t="s">
        <v>22</v>
      </c>
      <c r="F11" s="710"/>
      <c r="G11" s="358">
        <f>+IF(ISBLANK('Data Entry'!G16),"",'Data Entry'!G16)</f>
        <v>42369</v>
      </c>
      <c r="H11" s="392" t="s">
        <v>29</v>
      </c>
      <c r="I11" s="704">
        <f>+IF('Data Entry'!C12="Please Select","",'Data Entry'!C12)</f>
        <v>0</v>
      </c>
      <c r="J11" s="704"/>
      <c r="K11" s="276"/>
      <c r="L11" s="54"/>
      <c r="M11" s="50"/>
      <c r="N11" s="54"/>
      <c r="O11" s="54"/>
      <c r="P11" s="51"/>
      <c r="Q11" s="11"/>
      <c r="R11" s="53"/>
      <c r="S11" s="17"/>
      <c r="T11" s="12"/>
      <c r="U11" s="11"/>
    </row>
    <row r="12" spans="1:24" ht="25.5" customHeight="1">
      <c r="A12" s="392" t="s">
        <v>31</v>
      </c>
      <c r="B12" s="702" t="str">
        <f>+IF('Data Entry'!G10="Please Select","",'Data Entry'!G10)</f>
        <v>PwC (PricewaterhouseCoopers)</v>
      </c>
      <c r="C12" s="702"/>
      <c r="D12" s="702"/>
      <c r="E12" s="703" t="s">
        <v>289</v>
      </c>
      <c r="F12" s="703"/>
      <c r="G12" s="702" t="str">
        <f>+'Data Entry'!G12</f>
        <v>Mark Saafeld</v>
      </c>
      <c r="H12" s="702"/>
      <c r="I12" s="702"/>
      <c r="J12" s="702"/>
      <c r="K12" s="54"/>
      <c r="L12" s="54"/>
      <c r="M12" s="50"/>
      <c r="N12" s="54"/>
      <c r="O12" s="17"/>
      <c r="P12" s="51"/>
      <c r="Q12" s="11"/>
      <c r="R12" s="53"/>
      <c r="S12" s="17"/>
      <c r="T12" s="11"/>
      <c r="U12" s="55"/>
      <c r="V12" s="11"/>
      <c r="W12" s="12"/>
      <c r="X12" s="11"/>
    </row>
    <row r="13" spans="1:21" ht="25.5" customHeight="1">
      <c r="A13" s="392" t="s">
        <v>32</v>
      </c>
      <c r="B13" s="702" t="str">
        <f>+'Data Entry'!D18</f>
        <v>Kwami Afutu/Kulevome</v>
      </c>
      <c r="C13" s="702"/>
      <c r="D13" s="702"/>
      <c r="E13" s="703" t="s">
        <v>30</v>
      </c>
      <c r="F13" s="703"/>
      <c r="G13" s="705">
        <f>+IF(ISBLANK('Data Entry'!J16),"",'Data Entry'!J16)</f>
        <v>42415</v>
      </c>
      <c r="H13" s="706"/>
      <c r="I13" s="706"/>
      <c r="J13" s="706"/>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93"/>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7">
      <selection activeCell="H33" sqref="H3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63" t="str">
        <f>+"Dashboard:  "&amp;"  "&amp;IF(+'Data Entry'!C4="Please Select","",'Data Entry'!C4&amp;" - ")&amp;IF('Data Entry'!G6="Please Select","",'Data Entry'!G6)</f>
        <v>Dashboard:    Ghana - TB</v>
      </c>
      <c r="C2" s="663"/>
      <c r="D2" s="663"/>
      <c r="E2" s="663"/>
      <c r="F2" s="663"/>
      <c r="G2" s="663"/>
      <c r="H2" s="663"/>
      <c r="I2" s="663"/>
      <c r="J2" s="663"/>
      <c r="K2" s="663"/>
      <c r="L2" s="1"/>
      <c r="M2" s="1"/>
      <c r="N2" s="1"/>
      <c r="O2" s="1"/>
    </row>
    <row r="3" spans="2:12" ht="15">
      <c r="B3" s="135">
        <f>+IF('Data Entry'!G8="Please Select","",'Data Entry'!G8)</f>
        <v>0</v>
      </c>
      <c r="C3" s="721">
        <f>+IF('Data Entry'!I8="Please Select","",'Data Entry'!I8)</f>
        <v>0</v>
      </c>
      <c r="D3" s="721"/>
      <c r="E3" s="720"/>
      <c r="F3" s="720"/>
      <c r="G3" s="720"/>
      <c r="H3" s="720"/>
      <c r="I3" s="718" t="str">
        <f>+'Data Entry'!B16</f>
        <v>Report Period:</v>
      </c>
      <c r="J3" s="718"/>
      <c r="K3" s="201" t="str">
        <f>+'Data Entry'!C16</f>
        <v>P2</v>
      </c>
      <c r="L3" s="83"/>
    </row>
    <row r="4" spans="2:11" ht="15">
      <c r="B4" s="135" t="str">
        <f>+'Data Entry'!B12</f>
        <v>Latest Rating:</v>
      </c>
      <c r="C4" s="722">
        <f>+IF('Data Entry'!C12="Please Select","",'Data Entry'!C12)</f>
        <v>0</v>
      </c>
      <c r="D4" s="722"/>
      <c r="E4" s="720" t="str">
        <f>+'Data Entry'!C8</f>
        <v>Ministry of Health / Ghana Health Services</v>
      </c>
      <c r="F4" s="720"/>
      <c r="G4" s="720"/>
      <c r="H4" s="720"/>
      <c r="I4" s="718" t="str">
        <f>+'Data Entry'!D16</f>
        <v>From:</v>
      </c>
      <c r="J4" s="719"/>
      <c r="K4" s="203">
        <f>+IF(ISBLANK('Data Entry'!E16),"",'Data Entry'!E16)</f>
        <v>42278</v>
      </c>
    </row>
    <row r="5" spans="2:11" ht="18.75" customHeight="1">
      <c r="B5" s="135"/>
      <c r="C5" s="135"/>
      <c r="D5" s="717" t="str">
        <f>+'Data Entry'!G4</f>
        <v>Accelerating access to prevention and treatment of TB towards attaining the MDGs</v>
      </c>
      <c r="E5" s="717"/>
      <c r="F5" s="717"/>
      <c r="G5" s="717"/>
      <c r="H5" s="717"/>
      <c r="I5" s="717"/>
      <c r="J5" s="135" t="str">
        <f>+'Data Entry'!F16</f>
        <v>To:</v>
      </c>
      <c r="K5" s="203">
        <f>+IF(ISBLANK('Data Entry'!G16),"",'Data Entry'!G16)</f>
        <v>42369</v>
      </c>
    </row>
    <row r="6" spans="2:11" ht="18.75">
      <c r="B6" s="139"/>
      <c r="C6" s="135"/>
      <c r="D6" s="136"/>
      <c r="E6" s="723" t="s">
        <v>63</v>
      </c>
      <c r="F6" s="723"/>
      <c r="G6" s="723"/>
      <c r="H6" s="723"/>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P2</v>
      </c>
      <c r="C8" s="145"/>
      <c r="D8" s="2"/>
      <c r="E8" s="2"/>
      <c r="F8" s="2"/>
      <c r="H8" s="206" t="str">
        <f>+'Data Entry'!B49&amp;" - in ("&amp;'Data Entry'!D26&amp;")         "&amp;+I3&amp;" "&amp;+K3</f>
        <v>F3: Disbursements and expenditures - in ($)         Report Period: P2</v>
      </c>
      <c r="I8" s="3"/>
      <c r="J8" s="3"/>
      <c r="K8" s="3"/>
    </row>
    <row r="9" spans="2:11" ht="15">
      <c r="B9" s="362" t="s">
        <v>9</v>
      </c>
      <c r="C9" s="729"/>
      <c r="D9" s="730"/>
      <c r="E9" s="730"/>
      <c r="F9" s="731"/>
      <c r="H9" s="363" t="s">
        <v>9</v>
      </c>
      <c r="I9" s="732"/>
      <c r="J9" s="730"/>
      <c r="K9" s="731"/>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P2</v>
      </c>
      <c r="C22" s="2"/>
      <c r="D22" s="2"/>
      <c r="E22" s="2"/>
      <c r="F22" s="2"/>
      <c r="H22" s="207" t="str">
        <f>+'Data Entry'!B58&amp;"      "&amp;+I3&amp;" "&amp;+K3</f>
        <v>F4: Latest PR reporting and disbursement cycle      Report Period: P2</v>
      </c>
      <c r="J22" s="3"/>
      <c r="K22" s="3"/>
    </row>
    <row r="23" spans="2:11" ht="15">
      <c r="B23" s="363" t="s">
        <v>10</v>
      </c>
      <c r="C23" s="732"/>
      <c r="D23" s="730"/>
      <c r="E23" s="730"/>
      <c r="F23" s="731"/>
      <c r="G23" s="389"/>
      <c r="H23" s="363" t="s">
        <v>9</v>
      </c>
      <c r="I23" s="732"/>
      <c r="J23" s="733"/>
      <c r="K23" s="734"/>
    </row>
    <row r="24" spans="2:11" ht="15.75" thickBot="1">
      <c r="B24" s="216"/>
      <c r="C24" s="216"/>
      <c r="D24" s="216"/>
      <c r="E24" s="216"/>
      <c r="F24" s="216"/>
      <c r="G24" s="216"/>
      <c r="H24" s="217"/>
      <c r="I24" s="217"/>
      <c r="J24" s="216"/>
      <c r="K24" s="216"/>
    </row>
    <row r="25" spans="2:11" ht="29.25" customHeight="1" thickBot="1">
      <c r="B25" s="3"/>
      <c r="C25" s="3"/>
      <c r="D25" s="3"/>
      <c r="E25" s="3"/>
      <c r="F25" s="3"/>
      <c r="G25" s="336"/>
      <c r="H25" s="724" t="s">
        <v>308</v>
      </c>
      <c r="I25" s="725"/>
      <c r="J25" s="725"/>
      <c r="K25" s="726"/>
    </row>
    <row r="26" spans="2:11" ht="24">
      <c r="B26" s="3"/>
      <c r="C26" s="3"/>
      <c r="D26" s="3"/>
      <c r="E26" s="3"/>
      <c r="F26" s="3"/>
      <c r="G26" s="295"/>
      <c r="H26" s="727"/>
      <c r="I26" s="728"/>
      <c r="J26" s="312" t="s">
        <v>61</v>
      </c>
      <c r="K26" s="313" t="s">
        <v>62</v>
      </c>
    </row>
    <row r="27" spans="2:11" ht="23.25" customHeight="1">
      <c r="B27" s="3"/>
      <c r="C27" s="3"/>
      <c r="D27" s="3"/>
      <c r="E27" s="3"/>
      <c r="F27" s="3"/>
      <c r="G27" s="337"/>
      <c r="H27" s="713" t="str">
        <f>'Data Entry'!B62</f>
        <v>Days taken to submit final PU/DR to LFA</v>
      </c>
      <c r="I27" s="714"/>
      <c r="J27" s="314" t="str">
        <f>+'Data Entry'!C62</f>
        <v>NA</v>
      </c>
      <c r="K27" s="311" t="str">
        <f>+'Data Entry'!D62</f>
        <v>NA</v>
      </c>
    </row>
    <row r="28" spans="2:11" ht="21" customHeight="1">
      <c r="B28" s="3"/>
      <c r="C28" s="3"/>
      <c r="D28" s="3"/>
      <c r="E28" s="3"/>
      <c r="F28" s="3"/>
      <c r="G28" s="337"/>
      <c r="H28" s="713" t="str">
        <f>'Data Entry'!B63</f>
        <v>Days taken for disbursement to reach PR</v>
      </c>
      <c r="I28" s="714"/>
      <c r="J28" s="314" t="str">
        <f>+'Data Entry'!C63</f>
        <v>NA</v>
      </c>
      <c r="K28" s="311" t="str">
        <f>+'Data Entry'!D63</f>
        <v>NA</v>
      </c>
    </row>
    <row r="29" spans="2:11" ht="21" customHeight="1" thickBot="1">
      <c r="B29" s="3"/>
      <c r="C29" s="3"/>
      <c r="D29" s="3"/>
      <c r="E29" s="3"/>
      <c r="F29" s="3"/>
      <c r="G29" s="337"/>
      <c r="H29" s="715" t="str">
        <f>'Data Entry'!B64</f>
        <v>Days taken for disbursement to reach SRs </v>
      </c>
      <c r="I29" s="716"/>
      <c r="J29" s="315" t="str">
        <f>+'Data Entry'!C64</f>
        <v>NA</v>
      </c>
      <c r="K29" s="316" t="str">
        <f>+'Data Entry'!D64</f>
        <v>NA</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52" operator="greaterThan" stopIfTrue="1">
      <formula>J27</formula>
    </cfRule>
    <cfRule type="cellIs" priority="5" dxfId="53" operator="between" stopIfTrue="1">
      <formula>J27</formula>
      <formula>1</formula>
    </cfRule>
    <cfRule type="cellIs" priority="6" dxfId="27" operator="equal" stopIfTrue="1">
      <formula>0</formula>
    </cfRule>
  </conditionalFormatting>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7">
      <selection activeCell="N30" sqref="N30"/>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4"/>
      <c r="E1" s="235"/>
    </row>
    <row r="2" spans="2:16" ht="27.75" customHeight="1">
      <c r="B2" s="745" t="str">
        <f>+"Dashboard:  "&amp;"  "&amp;IF(+'Data Entry'!C4="Please Select","",'Data Entry'!C4&amp;" - ")&amp;IF('Data Entry'!G6="Please Select","",'Data Entry'!G6)</f>
        <v>Dashboard:    Ghana - TB</v>
      </c>
      <c r="C2" s="745"/>
      <c r="D2" s="745"/>
      <c r="E2" s="745"/>
      <c r="F2" s="745"/>
      <c r="G2" s="745"/>
      <c r="H2" s="745"/>
      <c r="I2" s="745"/>
      <c r="J2" s="745"/>
      <c r="K2" s="745"/>
      <c r="L2" s="745"/>
      <c r="M2" s="26"/>
      <c r="N2" s="26"/>
      <c r="O2" s="26"/>
      <c r="P2" s="26"/>
    </row>
    <row r="3" spans="2:12" ht="15">
      <c r="B3" s="24">
        <f>+IF('Data Entry'!G8="Please Select","",'Data Entry'!G8)</f>
        <v>0</v>
      </c>
      <c r="C3" s="735">
        <f>+IF('Data Entry'!I8="Please Select","",'Data Entry'!I8)</f>
        <v>0</v>
      </c>
      <c r="D3" s="735"/>
      <c r="E3" s="736"/>
      <c r="F3" s="736"/>
      <c r="G3" s="736"/>
      <c r="H3" s="736"/>
      <c r="I3" s="736"/>
      <c r="J3" s="740" t="str">
        <f>+'Data Entry'!B16</f>
        <v>Report Period:</v>
      </c>
      <c r="K3" s="740"/>
      <c r="L3" s="201" t="str">
        <f>+'Data Entry'!C16</f>
        <v>P2</v>
      </c>
    </row>
    <row r="4" spans="2:12" ht="15">
      <c r="B4" s="24" t="str">
        <f>+'Data Entry'!B12</f>
        <v>Latest Rating:</v>
      </c>
      <c r="C4" s="722">
        <f>+IF('Data Entry'!C12="Please Select","",'Data Entry'!C12)</f>
        <v>0</v>
      </c>
      <c r="D4" s="722"/>
      <c r="E4" s="736" t="str">
        <f>+'Data Entry'!C8</f>
        <v>Ministry of Health / Ghana Health Services</v>
      </c>
      <c r="F4" s="736"/>
      <c r="G4" s="736"/>
      <c r="H4" s="736"/>
      <c r="I4" s="736"/>
      <c r="J4" s="740" t="str">
        <f>+'Data Entry'!D16</f>
        <v>From:</v>
      </c>
      <c r="K4" s="741"/>
      <c r="L4" s="203">
        <f>+IF(ISBLANK('Data Entry'!E16),"",'Data Entry'!E16)</f>
        <v>42278</v>
      </c>
    </row>
    <row r="5" spans="2:12" ht="18.75" customHeight="1">
      <c r="B5" s="24"/>
      <c r="C5" s="24"/>
      <c r="D5" s="736" t="str">
        <f>+'Data Entry'!G4</f>
        <v>Accelerating access to prevention and treatment of TB towards attaining the MDGs</v>
      </c>
      <c r="E5" s="736"/>
      <c r="F5" s="736"/>
      <c r="G5" s="736"/>
      <c r="H5" s="736"/>
      <c r="I5" s="736"/>
      <c r="J5" s="736"/>
      <c r="K5" s="24" t="str">
        <f>+'Data Entry'!F16</f>
        <v>To:</v>
      </c>
      <c r="L5" s="203">
        <f>+IF(ISBLANK('Data Entry'!G16),"",'Data Entry'!G16)</f>
        <v>42369</v>
      </c>
    </row>
    <row r="6" spans="2:9" ht="18.75">
      <c r="B6" s="23"/>
      <c r="C6" s="24"/>
      <c r="D6" s="25"/>
      <c r="E6" s="746" t="s">
        <v>70</v>
      </c>
      <c r="F6" s="746"/>
      <c r="G6" s="746"/>
      <c r="H6" s="746"/>
      <c r="I6" s="746"/>
    </row>
    <row r="7" spans="2:8" ht="15">
      <c r="B7" s="390" t="str">
        <f>+'Data Entry'!B69&amp;"                "&amp;+J3&amp;" "&amp;+L3</f>
        <v>M1: Status of Conditions Precedent (CPs) and Time Bound Actions (TBAs)                Report Period: P2</v>
      </c>
      <c r="C7" s="21"/>
      <c r="H7" s="390" t="str">
        <f>+'Data Entry'!B76&amp;"                                                                             "&amp;+J3&amp;"  "&amp;+L3</f>
        <v>M2: Status of key PR management positions                                                                             Report Period:  P2</v>
      </c>
    </row>
    <row r="8" spans="2:12" ht="15">
      <c r="B8" s="364" t="s">
        <v>9</v>
      </c>
      <c r="C8" s="732"/>
      <c r="D8" s="733"/>
      <c r="E8" s="733"/>
      <c r="F8" s="734"/>
      <c r="G8" s="391"/>
      <c r="H8" s="363" t="s">
        <v>9</v>
      </c>
      <c r="I8" s="732"/>
      <c r="J8" s="742"/>
      <c r="K8" s="742"/>
      <c r="L8" s="743"/>
    </row>
    <row r="9" spans="2:8" ht="15">
      <c r="B9" s="19"/>
      <c r="C9" s="19"/>
      <c r="D9" s="19"/>
      <c r="E9" s="19"/>
      <c r="F9" s="19"/>
      <c r="G9" s="19"/>
      <c r="H9" s="19"/>
    </row>
    <row r="10" spans="1:16" ht="15">
      <c r="A10" s="47"/>
      <c r="B10" s="19"/>
      <c r="C10" s="19"/>
      <c r="D10" s="747"/>
      <c r="E10" s="541"/>
      <c r="F10" s="541"/>
      <c r="G10" s="210"/>
      <c r="H10" s="19"/>
      <c r="N10" s="49"/>
      <c r="O10" s="49"/>
      <c r="P10" s="48"/>
    </row>
    <row r="11" spans="2:15" ht="15">
      <c r="B11" s="19"/>
      <c r="C11" s="28"/>
      <c r="D11" s="747"/>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90" t="str">
        <f>+'Data Entry'!B81&amp;"                                                                                                  "&amp;+J3&amp;" "&amp;+L3</f>
        <v>M3: Contractual arrangements (SRs)                                                                                                   Report Period: P2</v>
      </c>
      <c r="H15" s="390" t="str">
        <f>+'Data Entry'!B86&amp;"                                                             "&amp;+J3&amp;" "&amp;+L3</f>
        <v>M4: Number of complete reports received on time                                                             Report Period: P2</v>
      </c>
    </row>
    <row r="16" spans="2:12" ht="15">
      <c r="B16" s="364" t="s">
        <v>9</v>
      </c>
      <c r="C16" s="732"/>
      <c r="D16" s="742"/>
      <c r="E16" s="742"/>
      <c r="F16" s="743"/>
      <c r="G16" s="391"/>
      <c r="H16" s="363" t="s">
        <v>9</v>
      </c>
      <c r="I16" s="732"/>
      <c r="J16" s="733"/>
      <c r="K16" s="733"/>
      <c r="L16" s="734"/>
    </row>
    <row r="17" spans="2:8" ht="15">
      <c r="B17" s="29"/>
      <c r="H17" s="30"/>
    </row>
    <row r="18" ht="15">
      <c r="M18" s="83"/>
    </row>
    <row r="26" spans="2:8" ht="15">
      <c r="B26" s="390" t="str">
        <f>+'Data Entry'!B92</f>
        <v>M5: Budget and Procurement of health products, health equipment, medicines and pharmaceuticals</v>
      </c>
      <c r="H26" s="390" t="str">
        <f>+'Data Entry'!B105&amp;"                                                                "&amp;+J3&amp;"  "&amp;+L3</f>
        <v>M6: Difference between current and safety stock                                                                Report Period:  P2</v>
      </c>
    </row>
    <row r="27" spans="2:12" ht="15">
      <c r="B27" s="362" t="s">
        <v>9</v>
      </c>
      <c r="C27" s="729"/>
      <c r="D27" s="742"/>
      <c r="E27" s="742"/>
      <c r="F27" s="743"/>
      <c r="G27" s="391"/>
      <c r="H27" s="363" t="s">
        <v>9</v>
      </c>
      <c r="I27" s="732"/>
      <c r="J27" s="733"/>
      <c r="K27" s="733"/>
      <c r="L27" s="734"/>
    </row>
    <row r="28" ht="15.75" thickBot="1"/>
    <row r="29" spans="6:12" ht="44.25" customHeight="1">
      <c r="F29" s="343"/>
      <c r="G29" s="343"/>
      <c r="H29" s="222" t="s">
        <v>33</v>
      </c>
      <c r="I29" s="339" t="s">
        <v>80</v>
      </c>
      <c r="J29" s="360" t="s">
        <v>343</v>
      </c>
      <c r="K29" s="221" t="s">
        <v>331</v>
      </c>
      <c r="L29" s="340" t="s">
        <v>330</v>
      </c>
    </row>
    <row r="30" spans="6:12" ht="15" customHeight="1">
      <c r="F30" s="343"/>
      <c r="G30" s="343"/>
      <c r="H30" s="737" t="str">
        <f>+'Data Entry'!B108</f>
        <v>Please Select</v>
      </c>
      <c r="I30" s="341" t="str">
        <f>+'Data Entry'!C108</f>
        <v>Ped: (ISONIAZID+RIFAMPICIN+PYRAZINAMIDE) +(ISONIAZID+RIFAMPICIN)Paediatrics)</v>
      </c>
      <c r="J30" s="459" t="e">
        <f>+'Data Entry'!I108</f>
        <v>#VALUE!</v>
      </c>
      <c r="K30" s="460">
        <f>+'Data Entry'!J108</f>
        <v>2.6</v>
      </c>
      <c r="L30" s="437" t="e">
        <f>+'Data Entry'!K108</f>
        <v>#VALUE!</v>
      </c>
    </row>
    <row r="31" spans="6:12" ht="15">
      <c r="F31" s="343"/>
      <c r="G31" s="343"/>
      <c r="H31" s="738"/>
      <c r="I31" s="341" t="str">
        <f>+'Data Entry'!C109</f>
        <v>Cat 1: (ISONIAZID+RIFAMPICI+PYRAZINAMIDE+ETHAMBUTOL)  + (ISONIAZID + RIFAMPICIN) Cat 1</v>
      </c>
      <c r="J31" s="459" t="e">
        <f>+'Data Entry'!I109</f>
        <v>#VALUE!</v>
      </c>
      <c r="K31" s="460">
        <f>+'Data Entry'!J109</f>
        <v>2.2</v>
      </c>
      <c r="L31" s="438" t="e">
        <f>+'Data Entry'!K109</f>
        <v>#VALUE!</v>
      </c>
    </row>
    <row r="32" spans="6:12" ht="15">
      <c r="F32" s="343"/>
      <c r="G32" s="343"/>
      <c r="H32" s="738"/>
      <c r="I32" s="341" t="str">
        <f>+'Data Entry'!C110</f>
        <v>Cat 2: (ISONIAZID+RIFAMPICIN+PYRAZINAMIDE+ETHAMBUTOL+ STREPTOMYCIN) + (ISONIAZID+RIFAMPICIN+ETHAMBUTOL) Cat 2</v>
      </c>
      <c r="J32" s="459" t="e">
        <f>+'Data Entry'!I110</f>
        <v>#VALUE!</v>
      </c>
      <c r="K32" s="460">
        <f>+'Data Entry'!J110</f>
        <v>2.2</v>
      </c>
      <c r="L32" s="437" t="e">
        <f>+'Data Entry'!K110</f>
        <v>#VALUE!</v>
      </c>
    </row>
    <row r="33" spans="6:12" ht="15.75" thickBot="1">
      <c r="F33" s="343"/>
      <c r="G33" s="343"/>
      <c r="H33" s="739"/>
      <c r="I33" s="342" t="str">
        <f>+'Data Entry'!C111</f>
        <v>Please Select</v>
      </c>
      <c r="J33" s="461">
        <f>+'Data Entry'!I111</f>
      </c>
      <c r="K33" s="462">
        <f>+'Data Entry'!J111</f>
        <v>0</v>
      </c>
      <c r="L33" s="437">
        <f>+'Data Entry'!K111</f>
      </c>
    </row>
    <row r="34" spans="2:12" ht="24.75" customHeight="1">
      <c r="B34" s="744" t="str">
        <f>+'Data Entry'!B102</f>
        <v>* Includes only EFR category 4 and 5  (Health products and health equipment &amp; Medicines and Pharmaceuticals)</v>
      </c>
      <c r="C34" s="744"/>
      <c r="D34" s="744"/>
      <c r="E34" s="744"/>
      <c r="F34" s="19"/>
      <c r="G34" s="19"/>
      <c r="H34" s="218"/>
      <c r="I34" s="219"/>
      <c r="J34" s="220"/>
      <c r="K34" s="210"/>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1" operator="greaterThan" stopIfTrue="1">
      <formula>0</formula>
    </cfRule>
  </conditionalFormatting>
  <conditionalFormatting sqref="C4:D4">
    <cfRule type="cellIs" priority="4" dxfId="51" operator="equal" stopIfTrue="1">
      <formula>"C"</formula>
    </cfRule>
    <cfRule type="cellIs" priority="5" dxfId="48" operator="equal" stopIfTrue="1">
      <formula>"B2"</formula>
    </cfRule>
    <cfRule type="cellIs" priority="6" dxfId="49" operator="equal" stopIfTrue="1">
      <formula>"B1"</formula>
    </cfRule>
  </conditionalFormatting>
  <conditionalFormatting sqref="L30 L32:L33">
    <cfRule type="cellIs" priority="13" dxfId="54" operator="lessThan" stopIfTrue="1">
      <formula>1</formula>
    </cfRule>
    <cfRule type="cellIs" priority="14" dxfId="55" operator="between" stopIfTrue="1">
      <formula>3</formula>
      <formula>17</formula>
    </cfRule>
    <cfRule type="cellIs" priority="15" dxfId="56" operator="between" stopIfTrue="1">
      <formula>1</formula>
      <formula>3</formula>
    </cfRule>
  </conditionalFormatting>
  <conditionalFormatting sqref="L31">
    <cfRule type="cellIs" priority="16" dxfId="54" operator="lessThan" stopIfTrue="1">
      <formula>1</formula>
    </cfRule>
    <cfRule type="cellIs" priority="17" dxfId="55" operator="between" stopIfTrue="1">
      <formula>3</formula>
      <formula>100</formula>
    </cfRule>
    <cfRule type="cellIs" priority="18" dxfId="56"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PageLayoutView="0" workbookViewId="0" topLeftCell="A4">
      <selection activeCell="R20" sqref="R2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48" t="str">
        <f>+"Dashboard:  "&amp;"  "&amp;IF(+'Data Entry'!C4="Please Select","",'Data Entry'!C4&amp;" - ")&amp;IF('Data Entry'!G6="Please Select","",'Data Entry'!G6)</f>
        <v>Dashboard:    Ghana - TB</v>
      </c>
      <c r="C2" s="748"/>
      <c r="D2" s="748"/>
      <c r="E2" s="748"/>
      <c r="F2" s="748"/>
      <c r="G2" s="748"/>
      <c r="H2" s="748"/>
      <c r="I2" s="748"/>
      <c r="J2" s="748"/>
      <c r="K2" s="748"/>
      <c r="L2" s="748"/>
      <c r="M2" s="748"/>
      <c r="N2" s="748"/>
      <c r="O2" s="748"/>
      <c r="P2" s="748"/>
      <c r="Q2" s="748"/>
    </row>
    <row r="3" spans="1:17" ht="18.75">
      <c r="A3" s="3"/>
      <c r="B3" s="135">
        <f>+IF('Data Entry'!G8="Please Select","",'Data Entry'!G8)</f>
        <v>0</v>
      </c>
      <c r="C3" s="721">
        <f>+IF('Data Entry'!I8="Please Select","",'Data Entry'!I8)</f>
        <v>0</v>
      </c>
      <c r="D3" s="721"/>
      <c r="E3" s="720"/>
      <c r="F3" s="720"/>
      <c r="G3" s="720"/>
      <c r="H3" s="720"/>
      <c r="I3" s="751"/>
      <c r="J3" s="751"/>
      <c r="K3" s="751"/>
      <c r="L3" s="3"/>
      <c r="M3" s="3"/>
      <c r="O3" s="718" t="str">
        <f>+'Data Entry'!B16</f>
        <v>Report Period:</v>
      </c>
      <c r="P3" s="718"/>
      <c r="Q3" s="202" t="str">
        <f>+'Data Entry'!C16</f>
        <v>P2</v>
      </c>
    </row>
    <row r="4" spans="1:29" ht="12" customHeight="1">
      <c r="A4" s="3"/>
      <c r="B4" s="135" t="str">
        <f>+'Data Entry'!B12</f>
        <v>Latest Rating:</v>
      </c>
      <c r="C4" s="752">
        <f>+IF('Data Entry'!C12="Please Select","",'Data Entry'!C12)</f>
        <v>0</v>
      </c>
      <c r="D4" s="752"/>
      <c r="E4" s="720" t="str">
        <f>+'Data Entry'!C8</f>
        <v>Ministry of Health / Ghana Health Services</v>
      </c>
      <c r="F4" s="720"/>
      <c r="G4" s="720"/>
      <c r="H4" s="720"/>
      <c r="I4" s="720"/>
      <c r="J4" s="720"/>
      <c r="K4" s="720"/>
      <c r="L4" s="720"/>
      <c r="M4" s="3"/>
      <c r="O4" s="345"/>
      <c r="P4" s="135" t="str">
        <f>+'Data Entry'!D16</f>
        <v>From:</v>
      </c>
      <c r="Q4" s="346">
        <f>+IF(ISBLANK('Data Entry'!E16),"",'Data Entry'!E16)</f>
        <v>42278</v>
      </c>
      <c r="Y4" s="71"/>
      <c r="Z4" s="71"/>
      <c r="AA4" s="71"/>
      <c r="AB4" s="71"/>
      <c r="AC4" s="71"/>
    </row>
    <row r="5" spans="1:35" ht="15.75" customHeight="1">
      <c r="A5" s="3"/>
      <c r="B5" s="135"/>
      <c r="C5" s="135"/>
      <c r="D5" s="720" t="str">
        <f>+'Data Entry'!G4</f>
        <v>Accelerating access to prevention and treatment of TB towards attaining the MDGs</v>
      </c>
      <c r="E5" s="720"/>
      <c r="F5" s="720"/>
      <c r="G5" s="720"/>
      <c r="H5" s="720"/>
      <c r="I5" s="720"/>
      <c r="J5" s="720"/>
      <c r="K5" s="720"/>
      <c r="L5" s="720"/>
      <c r="M5" s="720"/>
      <c r="N5" s="720"/>
      <c r="P5" s="135" t="str">
        <f>+'Data Entry'!F16</f>
        <v>To:</v>
      </c>
      <c r="Q5" s="346">
        <f>+IF(ISBLANK('Data Entry'!G16),"",'Data Entry'!G16)</f>
        <v>42369</v>
      </c>
      <c r="S5" s="229"/>
      <c r="T5" s="229"/>
      <c r="U5" s="229"/>
      <c r="V5" s="229"/>
      <c r="W5" s="229"/>
      <c r="X5" s="229"/>
      <c r="Y5" s="71"/>
      <c r="Z5" s="71"/>
      <c r="AA5" s="71" t="s">
        <v>43</v>
      </c>
      <c r="AB5" s="71"/>
      <c r="AC5" s="71" t="s">
        <v>264</v>
      </c>
      <c r="AD5" s="229"/>
      <c r="AE5" s="229"/>
      <c r="AF5" s="229"/>
      <c r="AG5" s="229"/>
      <c r="AH5" s="229"/>
      <c r="AI5" s="229"/>
    </row>
    <row r="6" spans="1:35" ht="15.75" customHeight="1">
      <c r="A6" s="3"/>
      <c r="B6" s="135"/>
      <c r="C6" s="135"/>
      <c r="D6" s="227"/>
      <c r="E6" s="227"/>
      <c r="F6" s="750" t="s">
        <v>393</v>
      </c>
      <c r="G6" s="750"/>
      <c r="H6" s="750"/>
      <c r="I6" s="750"/>
      <c r="J6" s="750"/>
      <c r="K6" s="750"/>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9" t="str">
        <f>+'Data Entry'!B118</f>
        <v>DOTS-1a: Number of notified cases of all forms of TB - bacteriologically confirmed plus clinically diagnosed, new and relapses</v>
      </c>
      <c r="C8" s="749"/>
      <c r="D8" s="749"/>
      <c r="E8" s="749"/>
      <c r="F8" s="749" t="str">
        <f>+'Data Entry'!B120</f>
        <v>DOTS-1b: Number of notified cases of bacteriologically confirmed TB, new and relapses</v>
      </c>
      <c r="G8" s="749"/>
      <c r="H8" s="749"/>
      <c r="I8" s="749"/>
      <c r="J8" s="749"/>
      <c r="K8" s="749"/>
      <c r="L8" s="749" t="str">
        <f>+'Data Entry'!B122</f>
        <v>DOTS-2a: Percentage of TB cases, all forms, bacteriologically confirmed plus clinically diagnosed, successfully treated (cured plus treatment completed) among all new TB cases registered for treatment during a specified period</v>
      </c>
      <c r="M8" s="749"/>
      <c r="N8" s="749"/>
      <c r="O8" s="749"/>
      <c r="P8" s="749"/>
      <c r="Q8" s="749"/>
      <c r="S8" s="229"/>
      <c r="T8" s="229"/>
      <c r="U8" s="229"/>
      <c r="V8" s="229"/>
      <c r="W8" s="229"/>
      <c r="X8" s="229"/>
      <c r="Y8" s="71"/>
      <c r="Z8" s="71"/>
      <c r="AA8" s="71"/>
      <c r="AB8" s="71"/>
      <c r="AC8" s="71"/>
      <c r="AD8" s="229"/>
      <c r="AE8" s="229"/>
      <c r="AF8" s="229"/>
      <c r="AG8" s="229"/>
      <c r="AH8" s="229"/>
      <c r="AI8" s="229"/>
    </row>
    <row r="9" spans="1:35" ht="24" customHeight="1">
      <c r="A9" s="3"/>
      <c r="B9" s="490" t="s">
        <v>412</v>
      </c>
      <c r="C9" s="781"/>
      <c r="D9" s="782"/>
      <c r="E9" s="783"/>
      <c r="F9" s="490" t="s">
        <v>413</v>
      </c>
      <c r="G9" s="781"/>
      <c r="H9" s="782"/>
      <c r="I9" s="782"/>
      <c r="J9" s="782"/>
      <c r="K9" s="783"/>
      <c r="L9" s="490" t="s">
        <v>414</v>
      </c>
      <c r="M9" s="781"/>
      <c r="N9" s="784"/>
      <c r="O9" s="784"/>
      <c r="P9" s="784"/>
      <c r="Q9" s="785"/>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5"/>
      <c r="F18" s="765"/>
      <c r="G18" s="765"/>
      <c r="H18" s="765"/>
      <c r="I18" s="765"/>
      <c r="J18" s="765"/>
      <c r="K18" s="765"/>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6" t="s">
        <v>89</v>
      </c>
      <c r="C19" s="766"/>
      <c r="D19" s="766"/>
      <c r="E19" s="146" t="s">
        <v>86</v>
      </c>
      <c r="F19" s="146" t="s">
        <v>90</v>
      </c>
      <c r="G19" s="761" t="s">
        <v>332</v>
      </c>
      <c r="H19" s="762"/>
      <c r="I19" s="763" t="s">
        <v>333</v>
      </c>
      <c r="J19" s="764"/>
      <c r="K19" s="344" t="s">
        <v>334</v>
      </c>
      <c r="L19" s="757" t="s">
        <v>93</v>
      </c>
      <c r="M19" s="758"/>
      <c r="N19" s="758"/>
      <c r="O19" s="758"/>
      <c r="P19" s="758"/>
      <c r="Q19" s="759"/>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67.5" customHeight="1">
      <c r="A20" s="3"/>
      <c r="B20" s="760" t="str">
        <f>+'Data Entry'!B118</f>
        <v>DOTS-1a: Number of notified cases of all forms of TB - bacteriologically confirmed plus clinically diagnosed, new and relapses</v>
      </c>
      <c r="C20" s="760"/>
      <c r="D20" s="760"/>
      <c r="E20" s="147">
        <f ca="1">OFFSET('Data Entry'!$G$117,1,RIGHT('Data Entry'!$C$16,LEN('Data Entry'!$C$16)-1),1,1)</f>
        <v>23153</v>
      </c>
      <c r="F20" s="147">
        <f ca="1">OFFSET('Data Entry'!$G$117,2,RIGHT('Data Entry'!$C$16,LEN('Data Entry'!$C$16)-1),1,1)</f>
        <v>14891</v>
      </c>
      <c r="G20" s="753">
        <f aca="true" t="shared" si="0" ref="G20:G29">+IF(ISERROR(F20/E20),0,F20/E20)</f>
        <v>0.6431563944197296</v>
      </c>
      <c r="H20" s="754"/>
      <c r="I20" s="754"/>
      <c r="J20" s="754"/>
      <c r="K20" s="755"/>
      <c r="L20" s="773" t="s">
        <v>457</v>
      </c>
      <c r="M20" s="774"/>
      <c r="N20" s="774"/>
      <c r="O20" s="774"/>
      <c r="P20" s="774"/>
      <c r="Q20" s="775"/>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52.5" customHeight="1">
      <c r="A21" s="3"/>
      <c r="B21" s="760" t="str">
        <f>+'Data Entry'!B120</f>
        <v>DOTS-1b: Number of notified cases of bacteriologically confirmed TB, new and relapses</v>
      </c>
      <c r="C21" s="760"/>
      <c r="D21" s="760"/>
      <c r="E21" s="147">
        <f ca="1">OFFSET('Data Entry'!$G$117,3,RIGHT('Data Entry'!$C$16,LEN('Data Entry'!$C$16)-1),1,1)</f>
        <v>11345</v>
      </c>
      <c r="F21" s="147">
        <f ca="1">OFFSET('Data Entry'!$G$117,4,RIGHT('Data Entry'!$C$16,LEN('Data Entry'!$C$16)-1),1,1)</f>
        <v>8178</v>
      </c>
      <c r="G21" s="753">
        <f t="shared" si="0"/>
        <v>0.7208461877479065</v>
      </c>
      <c r="H21" s="754"/>
      <c r="I21" s="754"/>
      <c r="J21" s="754"/>
      <c r="K21" s="755"/>
      <c r="L21" s="756" t="s">
        <v>458</v>
      </c>
      <c r="M21" s="756"/>
      <c r="N21" s="756"/>
      <c r="O21" s="756"/>
      <c r="P21" s="756"/>
      <c r="Q21" s="756"/>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265</v>
      </c>
      <c r="AA21" s="69" t="s">
        <v>264</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5.5" customHeight="1">
      <c r="A22" s="3"/>
      <c r="B22" s="760" t="str">
        <f>+'Data Entry'!B122</f>
        <v>DOTS-2a: Percentage of TB cases, all forms, bacteriologically confirmed plus clinically diagnosed, successfully treated (cured plus treatment completed) among all new TB cases registered for treatment during a specified period</v>
      </c>
      <c r="C22" s="760"/>
      <c r="D22" s="760"/>
      <c r="E22" s="147">
        <f ca="1">OFFSET('Data Entry'!$G$117,5,RIGHT('Data Entry'!$C$16,LEN('Data Entry'!$C$16)-1),1,1)</f>
        <v>0.87</v>
      </c>
      <c r="F22" s="147">
        <f ca="1">OFFSET('Data Entry'!$G$117,6,RIGHT('Data Entry'!$C$16,LEN('Data Entry'!$C$16)-1),1,1)</f>
        <v>0.8526803983085527</v>
      </c>
      <c r="G22" s="753">
        <f t="shared" si="0"/>
        <v>0.9800924118489112</v>
      </c>
      <c r="H22" s="754"/>
      <c r="I22" s="754"/>
      <c r="J22" s="754"/>
      <c r="K22" s="755"/>
      <c r="L22" s="773" t="s">
        <v>462</v>
      </c>
      <c r="M22" s="774"/>
      <c r="N22" s="774"/>
      <c r="O22" s="774"/>
      <c r="P22" s="774"/>
      <c r="Q22" s="775"/>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48.75" customHeight="1">
      <c r="A23" s="3"/>
      <c r="B23" s="768" t="str">
        <f>+'Data Entry'!B124</f>
        <v>DOTS-3: Percentage of laboratories showing adequate performance in external quality assurance for smear microscopy among the total number of laboratories that undertake smear microscopy during the reporting period</v>
      </c>
      <c r="C23" s="769"/>
      <c r="D23" s="770"/>
      <c r="E23" s="147">
        <f ca="1">OFFSET('Data Entry'!$G$117,7,RIGHT('Data Entry'!$C$16,LEN('Data Entry'!$C$16)-1),1,1)</f>
        <v>0.65</v>
      </c>
      <c r="F23" s="147">
        <f ca="1">OFFSET('Data Entry'!$G$117,8,RIGHT('Data Entry'!$C$16,LEN('Data Entry'!$C$16)-1),1,1)</f>
        <v>0.9087837837837838</v>
      </c>
      <c r="G23" s="753">
        <f t="shared" si="0"/>
        <v>1.398128898128898</v>
      </c>
      <c r="H23" s="754"/>
      <c r="I23" s="754"/>
      <c r="J23" s="754"/>
      <c r="K23" s="755"/>
      <c r="L23" s="756" t="s">
        <v>459</v>
      </c>
      <c r="M23" s="756"/>
      <c r="N23" s="756"/>
      <c r="O23" s="756"/>
      <c r="P23" s="756"/>
      <c r="Q23" s="756"/>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35.25" customHeight="1">
      <c r="A24" s="3"/>
      <c r="B24" s="760" t="str">
        <f>+'Data Entry'!B126</f>
        <v>DOTS-4: Percentage of reporting units reporting no stock-out of first-line anti-TB drugs on the last day of the quarter</v>
      </c>
      <c r="C24" s="760"/>
      <c r="D24" s="760"/>
      <c r="E24" s="147">
        <f ca="1">OFFSET('Data Entry'!$G$117,9,RIGHT('Data Entry'!$C$16,LEN('Data Entry'!$C$16)-1),1,1)</f>
        <v>1</v>
      </c>
      <c r="F24" s="147">
        <f ca="1">OFFSET('Data Entry'!$G$117,10,RIGHT('Data Entry'!$C$16,LEN('Data Entry'!$C$16)-1),1,1)</f>
        <v>1</v>
      </c>
      <c r="G24" s="753">
        <f t="shared" si="0"/>
        <v>1</v>
      </c>
      <c r="H24" s="754"/>
      <c r="I24" s="754"/>
      <c r="J24" s="754"/>
      <c r="K24" s="755"/>
      <c r="L24" s="756" t="s">
        <v>447</v>
      </c>
      <c r="M24" s="756"/>
      <c r="N24" s="756"/>
      <c r="O24" s="756"/>
      <c r="P24" s="756"/>
      <c r="Q24" s="756"/>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60" t="str">
        <f>+'Data Entry'!B128</f>
        <v>DOTS-7a: Percentage of notified TB cases, all forms, contributed by non-NTP providers - private/non-governmental facilities</v>
      </c>
      <c r="C25" s="760"/>
      <c r="D25" s="760"/>
      <c r="E25" s="147">
        <f ca="1">OFFSET('Data Entry'!$G$117,11,RIGHT('Data Entry'!$C$16,LEN('Data Entry'!$C$16)-1),1,1)</f>
        <v>0.06</v>
      </c>
      <c r="F25" s="147">
        <f ca="1">OFFSET('Data Entry'!$G$117,12,RIGHT('Data Entry'!$C$16,LEN('Data Entry'!$C$16)-1),1,1)</f>
        <v>0.022801520101340088</v>
      </c>
      <c r="G25" s="753">
        <f t="shared" si="0"/>
        <v>0.3800253350223348</v>
      </c>
      <c r="H25" s="754"/>
      <c r="I25" s="754"/>
      <c r="J25" s="754"/>
      <c r="K25" s="755"/>
      <c r="L25" s="756" t="s">
        <v>460</v>
      </c>
      <c r="M25" s="756"/>
      <c r="N25" s="756"/>
      <c r="O25" s="756"/>
      <c r="P25" s="756"/>
      <c r="Q25" s="756"/>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43.5" customHeight="1">
      <c r="A26" s="3"/>
      <c r="B26" s="760" t="str">
        <f>+'Data Entry'!B130</f>
        <v>MDR TB-1: Percentage of previously treated TB patients receiving DST (bacteriologically positive cases only)</v>
      </c>
      <c r="C26" s="760"/>
      <c r="D26" s="760"/>
      <c r="E26" s="147">
        <f ca="1">OFFSET('Data Entry'!$G$117,13,RIGHT('Data Entry'!$C$16,LEN('Data Entry'!$C$16)-1),1,1)</f>
        <v>0.5</v>
      </c>
      <c r="F26" s="147">
        <f ca="1">OFFSET('Data Entry'!$G$117,14,RIGHT('Data Entry'!$C$16,LEN('Data Entry'!$C$16)-1),1,1)</f>
        <v>0.6367521367521367</v>
      </c>
      <c r="G26" s="753">
        <f t="shared" si="0"/>
        <v>1.2735042735042734</v>
      </c>
      <c r="H26" s="754"/>
      <c r="I26" s="754"/>
      <c r="J26" s="754"/>
      <c r="K26" s="755"/>
      <c r="L26" s="756" t="s">
        <v>446</v>
      </c>
      <c r="M26" s="756"/>
      <c r="N26" s="756"/>
      <c r="O26" s="756"/>
      <c r="P26" s="756"/>
      <c r="Q26" s="756"/>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48.75" customHeight="1">
      <c r="A27" s="3"/>
      <c r="B27" s="760" t="str">
        <f>+'Data Entry'!B132</f>
        <v>MDR TB-2: Number of bacteriologically confirmed, drug resistant TB cases (RR-TB and/or MDR-TB) notified</v>
      </c>
      <c r="C27" s="760"/>
      <c r="D27" s="760"/>
      <c r="E27" s="147">
        <f ca="1">OFFSET('Data Entry'!$G$117,15,RIGHT('Data Entry'!$C$16,LEN('Data Entry'!$C$16)-1),1,1)</f>
        <v>137</v>
      </c>
      <c r="F27" s="147">
        <f ca="1">OFFSET('Data Entry'!$G$117,16,RIGHT('Data Entry'!$C$16,LEN('Data Entry'!$C$16)-1),1,1)</f>
        <v>62</v>
      </c>
      <c r="G27" s="753">
        <f t="shared" si="0"/>
        <v>0.45255474452554745</v>
      </c>
      <c r="H27" s="754"/>
      <c r="I27" s="754"/>
      <c r="J27" s="754"/>
      <c r="K27" s="755"/>
      <c r="L27" s="756" t="s">
        <v>448</v>
      </c>
      <c r="M27" s="756"/>
      <c r="N27" s="756"/>
      <c r="O27" s="756"/>
      <c r="P27" s="756"/>
      <c r="Q27" s="756"/>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51.75" customHeight="1">
      <c r="A28" s="3"/>
      <c r="B28" s="760" t="str">
        <f>+'Data Entry'!B134</f>
        <v>MDR TB-3: Number of cases with drug resistant TB (RR-TB and/or MDR-TB) that began second-line treatment</v>
      </c>
      <c r="C28" s="760"/>
      <c r="D28" s="760"/>
      <c r="E28" s="147">
        <f ca="1">OFFSET('Data Entry'!$G$117,17,RIGHT('Data Entry'!$C$16,LEN('Data Entry'!$C$16)-1),1,1)</f>
        <v>62</v>
      </c>
      <c r="F28" s="147">
        <f ca="1">OFFSET('Data Entry'!$G$117,18,RIGHT('Data Entry'!$C$16,LEN('Data Entry'!$C$16)-1),1,1)</f>
        <v>60</v>
      </c>
      <c r="G28" s="753">
        <f t="shared" si="0"/>
        <v>0.967741935483871</v>
      </c>
      <c r="H28" s="754"/>
      <c r="I28" s="754"/>
      <c r="J28" s="754"/>
      <c r="K28" s="755"/>
      <c r="L28" s="756" t="s">
        <v>461</v>
      </c>
      <c r="M28" s="756"/>
      <c r="N28" s="756"/>
      <c r="O28" s="756"/>
      <c r="P28" s="756"/>
      <c r="Q28" s="756"/>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6.5" customHeight="1">
      <c r="A29" s="3"/>
      <c r="B29" s="768" t="str">
        <f>+'Data Entry'!B136</f>
        <v>TB/HIV-1: Percentage of TB patients who had an HIV test result recorded in the TB register</v>
      </c>
      <c r="C29" s="769"/>
      <c r="D29" s="770"/>
      <c r="E29" s="147">
        <f ca="1">OFFSET('Data Entry'!$G$117,19,RIGHT('Data Entry'!$C$16,LEN('Data Entry'!$C$16)-1),1,1)</f>
        <v>0.75</v>
      </c>
      <c r="F29" s="147">
        <f ca="1">OFFSET('Data Entry'!$G$117,20,RIGHT('Data Entry'!$C$16,LEN('Data Entry'!$C$16)-1),1,1)</f>
        <v>0.8031025451615069</v>
      </c>
      <c r="G29" s="753">
        <f t="shared" si="0"/>
        <v>1.0708033935486758</v>
      </c>
      <c r="H29" s="754"/>
      <c r="I29" s="754"/>
      <c r="J29" s="754"/>
      <c r="K29" s="755"/>
      <c r="L29" s="756" t="s">
        <v>456</v>
      </c>
      <c r="M29" s="756"/>
      <c r="N29" s="756"/>
      <c r="O29" s="756"/>
      <c r="P29" s="756"/>
      <c r="Q29" s="756"/>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0"/>
      <c r="C30" s="780"/>
      <c r="D30" s="780"/>
      <c r="E30" s="780"/>
      <c r="F30" s="779"/>
      <c r="G30" s="779"/>
      <c r="H30" s="779"/>
      <c r="I30" s="779"/>
      <c r="J30" s="779"/>
      <c r="K30" s="779"/>
      <c r="L30" s="776"/>
      <c r="M30" s="776"/>
      <c r="N30" s="776"/>
      <c r="O30" s="776"/>
      <c r="P30" s="776"/>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7"/>
      <c r="C31" s="777"/>
      <c r="D31" s="777"/>
      <c r="E31" s="778"/>
      <c r="F31" s="771"/>
      <c r="G31" s="772"/>
      <c r="H31" s="772"/>
      <c r="I31" s="772"/>
      <c r="J31" s="772"/>
      <c r="K31" s="778"/>
      <c r="L31" s="771"/>
      <c r="M31" s="772"/>
      <c r="N31" s="772"/>
      <c r="O31" s="772"/>
      <c r="P31" s="77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67"/>
      <c r="C33" s="767"/>
      <c r="D33" s="767"/>
      <c r="E33" s="767"/>
      <c r="F33" s="767"/>
      <c r="G33" s="767"/>
      <c r="H33" s="767"/>
      <c r="I33" s="767"/>
      <c r="J33" s="767"/>
      <c r="K33" s="767"/>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67"/>
      <c r="C34" s="767"/>
      <c r="D34" s="767"/>
      <c r="E34" s="767"/>
      <c r="F34" s="767"/>
      <c r="G34" s="767"/>
      <c r="H34" s="767"/>
      <c r="I34" s="767"/>
      <c r="J34" s="767"/>
      <c r="K34" s="767"/>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51" operator="equal" stopIfTrue="1">
      <formula>"C"</formula>
    </cfRule>
    <cfRule type="cellIs" priority="51" dxfId="48" operator="equal" stopIfTrue="1">
      <formula>"B2"</formula>
    </cfRule>
    <cfRule type="cellIs" priority="52" dxfId="49" operator="equal" stopIfTrue="1">
      <formula>"B1"</formula>
    </cfRule>
  </conditionalFormatting>
  <conditionalFormatting sqref="G20:G29">
    <cfRule type="cellIs" priority="56" dxfId="57" operator="between" stopIfTrue="1">
      <formula>0</formula>
      <formula>0.599</formula>
    </cfRule>
    <cfRule type="cellIs" priority="57" dxfId="56" operator="between" stopIfTrue="1">
      <formula>0.6</formula>
      <formula>0.899</formula>
    </cfRule>
    <cfRule type="cellIs" priority="58" dxfId="58"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19">
      <selection activeCell="Q12" sqref="Q1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48" t="str">
        <f>+"Dashboard:  "&amp;"  "&amp;IF(+'Data Entry'!C4="Please Select","",'Data Entry'!C4&amp;" - ")&amp;IF('Data Entry'!G6="Please Select","",'Data Entry'!G6)</f>
        <v>Dashboard:    Ghana - TB</v>
      </c>
      <c r="C2" s="748"/>
      <c r="D2" s="748"/>
      <c r="E2" s="748"/>
      <c r="F2" s="748"/>
      <c r="G2" s="748"/>
      <c r="H2" s="748"/>
      <c r="I2" s="748"/>
      <c r="J2" s="748"/>
      <c r="K2" s="748"/>
      <c r="L2" s="748"/>
      <c r="M2" s="748"/>
      <c r="N2" s="748"/>
      <c r="O2" s="73"/>
    </row>
    <row r="3" spans="1:14" ht="18.75">
      <c r="A3" s="3"/>
      <c r="B3" s="135">
        <f>+IF('Data Entry'!G8="Please Select","",'Data Entry'!G8)</f>
        <v>0</v>
      </c>
      <c r="C3" s="721">
        <f>+IF('Data Entry'!I8="Please Select","",'Data Entry'!I8)</f>
        <v>0</v>
      </c>
      <c r="D3" s="721"/>
      <c r="E3" s="751"/>
      <c r="F3" s="751"/>
      <c r="G3" s="751"/>
      <c r="H3" s="751"/>
      <c r="I3" s="751"/>
      <c r="J3" s="751"/>
      <c r="K3" s="751"/>
      <c r="L3" s="135" t="str">
        <f>+'Data Entry'!B16</f>
        <v>Report Period:</v>
      </c>
      <c r="M3" s="202" t="str">
        <f>+'Data Entry'!C16</f>
        <v>P2</v>
      </c>
      <c r="N3" s="202"/>
    </row>
    <row r="4" spans="1:14" ht="15">
      <c r="A4" s="3"/>
      <c r="B4" s="135" t="str">
        <f>+'Data Entry'!B12</f>
        <v>Latest Rating:</v>
      </c>
      <c r="C4" s="752">
        <f>+IF('Data Entry'!C12="Please Select","",'Data Entry'!C12)</f>
        <v>0</v>
      </c>
      <c r="D4" s="752"/>
      <c r="E4" s="720" t="str">
        <f>+'Data Entry'!C8</f>
        <v>Ministry of Health / Ghana Health Services</v>
      </c>
      <c r="F4" s="720"/>
      <c r="G4" s="720"/>
      <c r="H4" s="720"/>
      <c r="I4" s="720"/>
      <c r="J4" s="720"/>
      <c r="K4" s="720"/>
      <c r="L4" s="135" t="str">
        <f>+'Data Entry'!D16</f>
        <v>From:</v>
      </c>
      <c r="M4" s="203">
        <f>+IF(ISBLANK('Data Entry'!E16),"",'Data Entry'!E16)</f>
        <v>42278</v>
      </c>
      <c r="N4" s="203"/>
    </row>
    <row r="5" spans="1:14" ht="18.75" customHeight="1">
      <c r="A5" s="3"/>
      <c r="B5" s="135"/>
      <c r="C5" s="135"/>
      <c r="D5" s="136"/>
      <c r="E5" s="720" t="str">
        <f>+'Data Entry'!G4</f>
        <v>Accelerating access to prevention and treatment of TB towards attaining the MDGs</v>
      </c>
      <c r="F5" s="720"/>
      <c r="G5" s="720"/>
      <c r="H5" s="720"/>
      <c r="I5" s="720"/>
      <c r="J5" s="720"/>
      <c r="K5" s="720"/>
      <c r="L5" s="135" t="str">
        <f>+'Data Entry'!F16</f>
        <v>To:</v>
      </c>
      <c r="M5" s="203">
        <f>+IF(ISBLANK('Data Entry'!G16),"",'Data Entry'!G16)</f>
        <v>42369</v>
      </c>
      <c r="N5" s="203"/>
    </row>
    <row r="6" spans="1:14" ht="22.5" customHeight="1">
      <c r="A6" s="3"/>
      <c r="B6" s="140"/>
      <c r="C6" s="141"/>
      <c r="D6" s="142"/>
      <c r="E6" s="814" t="s">
        <v>315</v>
      </c>
      <c r="F6" s="814"/>
      <c r="G6" s="814"/>
      <c r="H6" s="814"/>
      <c r="I6" s="814"/>
      <c r="J6" s="814"/>
      <c r="K6" s="814"/>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792" t="s">
        <v>99</v>
      </c>
      <c r="C8" s="792"/>
      <c r="D8" s="792"/>
      <c r="E8" s="792"/>
      <c r="F8" s="792"/>
      <c r="G8" s="792"/>
      <c r="H8" s="792"/>
      <c r="I8" s="792"/>
      <c r="J8" s="792"/>
      <c r="K8" s="792"/>
      <c r="L8" s="792"/>
      <c r="M8" s="792"/>
      <c r="N8" s="792"/>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13" t="s">
        <v>94</v>
      </c>
      <c r="C10" s="805"/>
      <c r="D10" s="793" t="s">
        <v>98</v>
      </c>
      <c r="E10" s="794"/>
      <c r="F10" s="794"/>
      <c r="G10" s="795"/>
      <c r="H10" s="163"/>
      <c r="I10" s="793" t="s">
        <v>315</v>
      </c>
      <c r="J10" s="794"/>
      <c r="K10" s="794"/>
      <c r="L10" s="794"/>
      <c r="M10" s="794"/>
      <c r="N10" s="795"/>
    </row>
    <row r="11" spans="1:14" s="34" customFormat="1" ht="28.5" customHeight="1">
      <c r="A11" s="160"/>
      <c r="B11" s="442" t="s">
        <v>102</v>
      </c>
      <c r="C11" s="180"/>
      <c r="D11" s="817">
        <f>IF(ISBLANK(Finance!C9),"",(Finance!C9))</f>
      </c>
      <c r="E11" s="817"/>
      <c r="F11" s="817"/>
      <c r="G11" s="818"/>
      <c r="H11" s="186"/>
      <c r="I11" s="819"/>
      <c r="J11" s="820"/>
      <c r="K11" s="820"/>
      <c r="L11" s="820"/>
      <c r="M11" s="820"/>
      <c r="N11" s="821"/>
    </row>
    <row r="12" spans="1:14" s="34" customFormat="1" ht="27.75" customHeight="1">
      <c r="A12" s="160"/>
      <c r="B12" s="443" t="s">
        <v>103</v>
      </c>
      <c r="C12" s="181"/>
      <c r="D12" s="817">
        <f>IF(ISBLANK(Finance!C23),"",(Finance!C23))</f>
      </c>
      <c r="E12" s="817"/>
      <c r="F12" s="817"/>
      <c r="G12" s="818"/>
      <c r="H12" s="186"/>
      <c r="I12" s="807"/>
      <c r="J12" s="808"/>
      <c r="K12" s="808"/>
      <c r="L12" s="808"/>
      <c r="M12" s="808"/>
      <c r="N12" s="809"/>
    </row>
    <row r="13" spans="1:14" s="34" customFormat="1" ht="26.25" customHeight="1">
      <c r="A13" s="160"/>
      <c r="B13" s="443" t="s">
        <v>104</v>
      </c>
      <c r="C13" s="181"/>
      <c r="D13" s="817">
        <f>IF(ISBLANK(Finance!I9),"",(Finance!I9))</f>
      </c>
      <c r="E13" s="817"/>
      <c r="F13" s="817"/>
      <c r="G13" s="818"/>
      <c r="H13" s="186"/>
      <c r="I13" s="807"/>
      <c r="J13" s="808"/>
      <c r="K13" s="808"/>
      <c r="L13" s="808"/>
      <c r="M13" s="808"/>
      <c r="N13" s="809"/>
    </row>
    <row r="14" spans="1:14" s="34" customFormat="1" ht="28.5" customHeight="1" thickBot="1">
      <c r="A14" s="160"/>
      <c r="B14" s="444" t="s">
        <v>105</v>
      </c>
      <c r="C14" s="182"/>
      <c r="D14" s="815">
        <f>IF(ISBLANK(Finance!I23),"",(Finance!I23))</f>
      </c>
      <c r="E14" s="815"/>
      <c r="F14" s="815"/>
      <c r="G14" s="816"/>
      <c r="H14" s="186"/>
      <c r="I14" s="810"/>
      <c r="J14" s="811"/>
      <c r="K14" s="811"/>
      <c r="L14" s="811"/>
      <c r="M14" s="811"/>
      <c r="N14" s="812"/>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792" t="s">
        <v>101</v>
      </c>
      <c r="C16" s="792"/>
      <c r="D16" s="792"/>
      <c r="E16" s="792"/>
      <c r="F16" s="792"/>
      <c r="G16" s="792"/>
      <c r="H16" s="792"/>
      <c r="I16" s="792"/>
      <c r="J16" s="792"/>
      <c r="K16" s="792"/>
      <c r="L16" s="792"/>
      <c r="M16" s="792"/>
      <c r="N16" s="792"/>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05" t="s">
        <v>95</v>
      </c>
      <c r="C18" s="806"/>
      <c r="D18" s="832" t="s">
        <v>98</v>
      </c>
      <c r="E18" s="833"/>
      <c r="F18" s="833"/>
      <c r="G18" s="834"/>
      <c r="H18" s="163"/>
      <c r="I18" s="829" t="s">
        <v>315</v>
      </c>
      <c r="J18" s="830"/>
      <c r="K18" s="830"/>
      <c r="L18" s="830"/>
      <c r="M18" s="831"/>
      <c r="N18" s="831"/>
    </row>
    <row r="19" spans="1:14" s="34" customFormat="1" ht="21.75" customHeight="1">
      <c r="A19" s="160"/>
      <c r="B19" s="445" t="s">
        <v>110</v>
      </c>
      <c r="C19" s="188"/>
      <c r="D19" s="835">
        <f>IF(ISBLANK(Management!C8),"",(Management!C8))</f>
      </c>
      <c r="E19" s="835"/>
      <c r="F19" s="835"/>
      <c r="G19" s="836"/>
      <c r="H19" s="189"/>
      <c r="I19" s="796"/>
      <c r="J19" s="797"/>
      <c r="K19" s="797"/>
      <c r="L19" s="797"/>
      <c r="M19" s="797"/>
      <c r="N19" s="798"/>
    </row>
    <row r="20" spans="1:15" ht="24.75" customHeight="1">
      <c r="A20" s="154"/>
      <c r="B20" s="446" t="s">
        <v>111</v>
      </c>
      <c r="C20" s="190"/>
      <c r="D20" s="817">
        <f>IF(ISBLANK(Management!I8),"",(Management!I8))</f>
      </c>
      <c r="E20" s="817" t="e">
        <f>+'Data Entry'!D73/'Data Entry'!G73</f>
        <v>#DIV/0!</v>
      </c>
      <c r="F20" s="817" t="e">
        <f>+('Data Entry'!E73+'Data Entry'!F73)/'Data Entry'!G73</f>
        <v>#DIV/0!</v>
      </c>
      <c r="G20" s="828"/>
      <c r="H20" s="189"/>
      <c r="I20" s="802"/>
      <c r="J20" s="803"/>
      <c r="K20" s="803"/>
      <c r="L20" s="803"/>
      <c r="M20" s="803"/>
      <c r="N20" s="804"/>
      <c r="O20" s="35"/>
    </row>
    <row r="21" spans="1:15" ht="29.25" customHeight="1">
      <c r="A21" s="154"/>
      <c r="B21" s="447" t="s">
        <v>112</v>
      </c>
      <c r="C21" s="190"/>
      <c r="D21" s="817">
        <f>IF(ISBLANK(Management!C16),"",(Management!C16))</f>
      </c>
      <c r="E21" s="817"/>
      <c r="F21" s="817"/>
      <c r="G21" s="828"/>
      <c r="H21" s="189"/>
      <c r="I21" s="802"/>
      <c r="J21" s="803"/>
      <c r="K21" s="803"/>
      <c r="L21" s="803"/>
      <c r="M21" s="803"/>
      <c r="N21" s="804"/>
      <c r="O21" s="35"/>
    </row>
    <row r="22" spans="1:15" ht="26.25" customHeight="1">
      <c r="A22" s="154"/>
      <c r="B22" s="447" t="s">
        <v>113</v>
      </c>
      <c r="C22" s="190"/>
      <c r="D22" s="817">
        <f>IF(ISBLANK(Management!I16),"",(Management!I16))</f>
      </c>
      <c r="E22" s="817"/>
      <c r="F22" s="817"/>
      <c r="G22" s="828"/>
      <c r="H22" s="189"/>
      <c r="I22" s="802"/>
      <c r="J22" s="803"/>
      <c r="K22" s="803"/>
      <c r="L22" s="803"/>
      <c r="M22" s="803"/>
      <c r="N22" s="804"/>
      <c r="O22" s="35"/>
    </row>
    <row r="23" spans="1:15" ht="24.75" customHeight="1">
      <c r="A23" s="154"/>
      <c r="B23" s="447" t="s">
        <v>114</v>
      </c>
      <c r="C23" s="190"/>
      <c r="D23" s="817">
        <f>IF(ISBLANK(Management!C27),"",(Management!C27))</f>
      </c>
      <c r="E23" s="817"/>
      <c r="F23" s="817"/>
      <c r="G23" s="828"/>
      <c r="H23" s="189"/>
      <c r="I23" s="802"/>
      <c r="J23" s="803"/>
      <c r="K23" s="803"/>
      <c r="L23" s="803"/>
      <c r="M23" s="803"/>
      <c r="N23" s="804"/>
      <c r="O23" s="35"/>
    </row>
    <row r="24" spans="1:15" ht="27" customHeight="1" thickBot="1">
      <c r="A24" s="154"/>
      <c r="B24" s="448" t="s">
        <v>115</v>
      </c>
      <c r="C24" s="191"/>
      <c r="D24" s="838">
        <f>IF(ISBLANK(Management!I27),"",(Management!I27))</f>
      </c>
      <c r="E24" s="838"/>
      <c r="F24" s="838"/>
      <c r="G24" s="839"/>
      <c r="H24" s="189"/>
      <c r="I24" s="799"/>
      <c r="J24" s="800"/>
      <c r="K24" s="800"/>
      <c r="L24" s="800"/>
      <c r="M24" s="800"/>
      <c r="N24" s="801"/>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792" t="s">
        <v>100</v>
      </c>
      <c r="C26" s="792"/>
      <c r="D26" s="792"/>
      <c r="E26" s="792"/>
      <c r="F26" s="792"/>
      <c r="G26" s="792"/>
      <c r="H26" s="792"/>
      <c r="I26" s="792"/>
      <c r="J26" s="792"/>
      <c r="K26" s="792"/>
      <c r="L26" s="792"/>
      <c r="M26" s="792"/>
      <c r="N26" s="792"/>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3" t="s">
        <v>7</v>
      </c>
      <c r="C28" s="806"/>
      <c r="D28" s="840" t="s">
        <v>98</v>
      </c>
      <c r="E28" s="841"/>
      <c r="F28" s="841"/>
      <c r="G28" s="842"/>
      <c r="H28" s="163"/>
      <c r="I28" s="840" t="s">
        <v>315</v>
      </c>
      <c r="J28" s="841"/>
      <c r="K28" s="841"/>
      <c r="L28" s="841"/>
      <c r="M28" s="841"/>
      <c r="N28" s="842"/>
      <c r="O28" s="35"/>
    </row>
    <row r="29" spans="1:15" ht="29.25" customHeight="1">
      <c r="A29" s="154"/>
      <c r="B29" s="449" t="s">
        <v>316</v>
      </c>
      <c r="C29" s="192"/>
      <c r="D29" s="843">
        <f>IF(ISBLANK(Programmatic!C9),"",(Programmatic!C9))</f>
      </c>
      <c r="E29" s="844"/>
      <c r="F29" s="844"/>
      <c r="G29" s="845"/>
      <c r="H29" s="189"/>
      <c r="I29" s="825"/>
      <c r="J29" s="826"/>
      <c r="K29" s="826"/>
      <c r="L29" s="826"/>
      <c r="M29" s="826"/>
      <c r="N29" s="827"/>
      <c r="O29" s="35"/>
    </row>
    <row r="30" spans="1:15" ht="21.75" customHeight="1">
      <c r="A30" s="154"/>
      <c r="B30" s="450" t="s">
        <v>317</v>
      </c>
      <c r="C30" s="193"/>
      <c r="D30" s="837">
        <f>IF(ISBLANK(Programmatic!G9),"",(Programmatic!G9))</f>
      </c>
      <c r="E30" s="823"/>
      <c r="F30" s="823"/>
      <c r="G30" s="824"/>
      <c r="H30" s="189"/>
      <c r="I30" s="786"/>
      <c r="J30" s="787"/>
      <c r="K30" s="787"/>
      <c r="L30" s="787"/>
      <c r="M30" s="787"/>
      <c r="N30" s="788"/>
      <c r="O30" s="35"/>
    </row>
    <row r="31" spans="1:15" ht="21.75" customHeight="1">
      <c r="A31" s="154"/>
      <c r="B31" s="450" t="s">
        <v>318</v>
      </c>
      <c r="C31" s="193"/>
      <c r="D31" s="837">
        <f>IF(ISBLANK(Programmatic!M9),"",(Programmatic!M9))</f>
      </c>
      <c r="E31" s="823"/>
      <c r="F31" s="823"/>
      <c r="G31" s="824"/>
      <c r="H31" s="189"/>
      <c r="I31" s="786"/>
      <c r="J31" s="787"/>
      <c r="K31" s="787"/>
      <c r="L31" s="787"/>
      <c r="M31" s="787"/>
      <c r="N31" s="788"/>
      <c r="O31" s="35"/>
    </row>
    <row r="32" spans="1:15" ht="21.75" customHeight="1">
      <c r="A32" s="154"/>
      <c r="B32" s="451" t="s">
        <v>106</v>
      </c>
      <c r="C32" s="193"/>
      <c r="D32" s="822" t="str">
        <f>IF(ISBLANK(Programmatic!L20),"",(Programmatic!L20))</f>
        <v>Orientation for health workers to systematically screen for TB at OPDs is completed and screening  tools have been deployed.  However, Gene Xperts to aid diagnosis have not been procured yet.</v>
      </c>
      <c r="E32" s="823"/>
      <c r="F32" s="823"/>
      <c r="G32" s="824"/>
      <c r="H32" s="189"/>
      <c r="I32" s="786"/>
      <c r="J32" s="787"/>
      <c r="K32" s="787"/>
      <c r="L32" s="787"/>
      <c r="M32" s="787"/>
      <c r="N32" s="788"/>
      <c r="O32" s="35"/>
    </row>
    <row r="33" spans="1:15" ht="27" customHeight="1">
      <c r="A33" s="154"/>
      <c r="B33" s="451" t="s">
        <v>107</v>
      </c>
      <c r="C33" s="193"/>
      <c r="D33" s="822" t="str">
        <f>IF(ISBLANK(Programmatic!L21),"",(Programmatic!L21))</f>
        <v>The process for procurement of GeneXpert has started and delivery of 90 Xperts which was expected in December 2015 has delayed. They will be deployed as soon as they are delivered after training of biomedical scientist, which is expected to be done on-site. </v>
      </c>
      <c r="E33" s="823"/>
      <c r="F33" s="823"/>
      <c r="G33" s="824"/>
      <c r="H33" s="189"/>
      <c r="I33" s="786"/>
      <c r="J33" s="787"/>
      <c r="K33" s="787"/>
      <c r="L33" s="787"/>
      <c r="M33" s="787"/>
      <c r="N33" s="788"/>
      <c r="O33" s="35"/>
    </row>
    <row r="34" spans="1:15" ht="21.75" customHeight="1">
      <c r="A34" s="154"/>
      <c r="B34" s="451" t="s">
        <v>108</v>
      </c>
      <c r="C34" s="193"/>
      <c r="D34" s="822" t="str">
        <f>IF(ISBLANK(Programmatic!L22),"",(Programmatic!L22))</f>
        <v>The achieveds is 2 percentage points short of the target 87%.  Death rate was 10.3%</v>
      </c>
      <c r="E34" s="823"/>
      <c r="F34" s="823"/>
      <c r="G34" s="824"/>
      <c r="H34" s="189"/>
      <c r="I34" s="786"/>
      <c r="J34" s="787"/>
      <c r="K34" s="787"/>
      <c r="L34" s="787"/>
      <c r="M34" s="787"/>
      <c r="N34" s="788"/>
      <c r="O34" s="35"/>
    </row>
    <row r="35" spans="1:15" ht="21.75" customHeight="1">
      <c r="A35" s="154"/>
      <c r="B35" s="451" t="s">
        <v>109</v>
      </c>
      <c r="C35" s="236"/>
      <c r="D35" s="822" t="str">
        <f>IF(ISBLANK(Programmatic!L23),"",(Programmatic!L23))</f>
        <v>EQA was intensified after indicators were redefined to conform with the revised WHO definitions</v>
      </c>
      <c r="E35" s="823"/>
      <c r="F35" s="823"/>
      <c r="G35" s="824"/>
      <c r="H35" s="189"/>
      <c r="I35" s="786"/>
      <c r="J35" s="787"/>
      <c r="K35" s="787"/>
      <c r="L35" s="787"/>
      <c r="M35" s="787"/>
      <c r="N35" s="788"/>
      <c r="O35" s="35"/>
    </row>
    <row r="36" spans="1:15" ht="21.75" customHeight="1">
      <c r="A36" s="154"/>
      <c r="B36" s="451" t="s">
        <v>120</v>
      </c>
      <c r="C36" s="236"/>
      <c r="D36" s="822" t="str">
        <f>IF(ISBLANK(Programmatic!L24),"",(Programmatic!L24))</f>
        <v>Effective stock management and the availability of commodities ensured no stock-out of TB commodities.</v>
      </c>
      <c r="E36" s="823"/>
      <c r="F36" s="823"/>
      <c r="G36" s="824"/>
      <c r="H36" s="189"/>
      <c r="I36" s="786"/>
      <c r="J36" s="787"/>
      <c r="K36" s="787"/>
      <c r="L36" s="787"/>
      <c r="M36" s="787"/>
      <c r="N36" s="788"/>
      <c r="O36" s="35"/>
    </row>
    <row r="37" spans="1:15" ht="21.75" customHeight="1">
      <c r="A37" s="154"/>
      <c r="B37" s="451" t="s">
        <v>121</v>
      </c>
      <c r="C37" s="236"/>
      <c r="D37" s="822" t="str">
        <f>IF(ISBLANK(Programmatic!L25),"",(Programmatic!L25))</f>
        <v>Reports from the Civil Society Organizations are due at the close of February 2016 and will be part of the next semester report</v>
      </c>
      <c r="E37" s="823"/>
      <c r="F37" s="823"/>
      <c r="G37" s="824"/>
      <c r="H37" s="189"/>
      <c r="I37" s="786"/>
      <c r="J37" s="787"/>
      <c r="K37" s="787"/>
      <c r="L37" s="787"/>
      <c r="M37" s="787"/>
      <c r="N37" s="788"/>
      <c r="O37" s="35"/>
    </row>
    <row r="38" spans="1:15" ht="21.75" customHeight="1">
      <c r="A38" s="154"/>
      <c r="B38" s="451" t="s">
        <v>122</v>
      </c>
      <c r="C38" s="236"/>
      <c r="D38" s="822" t="str">
        <f>IF(ISBLANK(Programmatic!L26),"",(Programmatic!L26))</f>
        <v>Increasingly, prescribers are following the Drug Resistant diagnosis alogorithm.  Sputum trasnport has been streamlined and some bottleneck removed.</v>
      </c>
      <c r="E38" s="823"/>
      <c r="F38" s="823"/>
      <c r="G38" s="824"/>
      <c r="H38" s="189"/>
      <c r="I38" s="786"/>
      <c r="J38" s="787"/>
      <c r="K38" s="787"/>
      <c r="L38" s="787"/>
      <c r="M38" s="787"/>
      <c r="N38" s="788"/>
      <c r="O38" s="35"/>
    </row>
    <row r="39" spans="1:15" ht="21.75" customHeight="1">
      <c r="A39" s="154"/>
      <c r="B39" s="451" t="s">
        <v>123</v>
      </c>
      <c r="C39" s="236"/>
      <c r="D39" s="822" t="str">
        <f>IF(ISBLANK(Programmatic!L27),"",(Programmatic!L27))</f>
        <v>Fewer than expected drug resistant TB cases were diagnosed.  TB Drug resistant survey is being conducted to establish TB drug resisnatnce prevalence in Ghana.  This is 9% prevalence based on the limited data.</v>
      </c>
      <c r="E39" s="823"/>
      <c r="F39" s="823"/>
      <c r="G39" s="824"/>
      <c r="H39" s="189"/>
      <c r="I39" s="786"/>
      <c r="J39" s="787"/>
      <c r="K39" s="787"/>
      <c r="L39" s="787"/>
      <c r="M39" s="787"/>
      <c r="N39" s="788"/>
      <c r="O39" s="35"/>
    </row>
    <row r="40" spans="1:15" ht="21.75" customHeight="1">
      <c r="A40" s="154"/>
      <c r="B40" s="451" t="s">
        <v>124</v>
      </c>
      <c r="C40" s="236"/>
      <c r="D40" s="822" t="str">
        <f>IF(ISBLANK(Programmatic!L28),"",(Programmatic!L28))</f>
        <v>This also includes patients diagnosed in December 2014 who were not enrolled due to pre-enrollment requirements which includes baseline laboratory investigations. </v>
      </c>
      <c r="E40" s="823"/>
      <c r="F40" s="823"/>
      <c r="G40" s="824"/>
      <c r="H40" s="189"/>
      <c r="I40" s="786"/>
      <c r="J40" s="787"/>
      <c r="K40" s="787"/>
      <c r="L40" s="787"/>
      <c r="M40" s="787"/>
      <c r="N40" s="788"/>
      <c r="O40" s="35"/>
    </row>
    <row r="41" spans="1:15" ht="21.75" customHeight="1" thickBot="1">
      <c r="A41" s="154"/>
      <c r="B41" s="451" t="s">
        <v>125</v>
      </c>
      <c r="C41" s="194"/>
      <c r="D41" s="822" t="str">
        <f>IF(ISBLANK(Programmatic!L29),"",(Programmatic!L29))</f>
        <v>69% of the target cases were tested for HIV, but, represent  80.3% of TB cases reported.</v>
      </c>
      <c r="E41" s="823"/>
      <c r="F41" s="823"/>
      <c r="G41" s="824"/>
      <c r="H41" s="189"/>
      <c r="I41" s="789"/>
      <c r="J41" s="790"/>
      <c r="K41" s="790"/>
      <c r="L41" s="790"/>
      <c r="M41" s="790"/>
      <c r="N41" s="791"/>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L3" sqref="L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45" t="str">
        <f>+"Dashboard:  "&amp;"  "&amp;IF(+'Data Entry'!C4="Please Select","",'Data Entry'!C4&amp;" - ")&amp;IF('Data Entry'!G6="Please Select","",'Data Entry'!G6)</f>
        <v>Dashboard:    Ghana - TB</v>
      </c>
      <c r="C2" s="745"/>
      <c r="D2" s="745"/>
      <c r="E2" s="745"/>
      <c r="F2" s="745"/>
      <c r="G2" s="745"/>
      <c r="H2" s="745"/>
      <c r="I2" s="745"/>
      <c r="J2" s="745"/>
      <c r="K2" s="745"/>
      <c r="L2" s="745"/>
    </row>
    <row r="3" spans="2:13" ht="15">
      <c r="B3" s="24">
        <f>+IF('Data Entry'!G8="Please Select","",'Data Entry'!G8)</f>
        <v>0</v>
      </c>
      <c r="C3" s="735">
        <f>+IF('Data Entry'!I8="Please Select","",'Data Entry'!I8)</f>
        <v>0</v>
      </c>
      <c r="D3" s="735"/>
      <c r="E3" s="736"/>
      <c r="F3" s="736"/>
      <c r="G3" s="736"/>
      <c r="H3" s="736"/>
      <c r="I3" s="736"/>
      <c r="J3" s="740" t="str">
        <f>+'Data Entry'!B16</f>
        <v>Report Period:</v>
      </c>
      <c r="K3" s="740"/>
      <c r="L3" s="202" t="str">
        <f>+'Data Entry'!C16</f>
        <v>P2</v>
      </c>
      <c r="M3" s="85"/>
    </row>
    <row r="4" spans="2:12" ht="15">
      <c r="B4" s="24" t="str">
        <f>+'Data Entry'!B12</f>
        <v>Latest Rating:</v>
      </c>
      <c r="C4" s="895">
        <f>+IF('Data Entry'!C12="Please Select","",'Data Entry'!C12)</f>
        <v>0</v>
      </c>
      <c r="D4" s="895"/>
      <c r="E4" s="736" t="str">
        <f>+'Data Entry'!C8</f>
        <v>Ministry of Health / Ghana Health Services</v>
      </c>
      <c r="F4" s="736"/>
      <c r="G4" s="736"/>
      <c r="H4" s="736"/>
      <c r="I4" s="736"/>
      <c r="J4" s="740" t="str">
        <f>+'Data Entry'!D16</f>
        <v>From:</v>
      </c>
      <c r="K4" s="741"/>
      <c r="L4" s="203">
        <f>+IF(ISBLANK('Data Entry'!E16),"",'Data Entry'!E16)</f>
        <v>42278</v>
      </c>
    </row>
    <row r="5" spans="2:12" ht="18.75" customHeight="1">
      <c r="B5" s="24"/>
      <c r="C5" s="24"/>
      <c r="D5" s="736" t="str">
        <f>+'Data Entry'!G4</f>
        <v>Accelerating access to prevention and treatment of TB towards attaining the MDGs</v>
      </c>
      <c r="E5" s="736"/>
      <c r="F5" s="736"/>
      <c r="G5" s="736"/>
      <c r="H5" s="736"/>
      <c r="I5" s="736"/>
      <c r="J5" s="736"/>
      <c r="K5" s="24" t="str">
        <f>+'Data Entry'!F16</f>
        <v>To:</v>
      </c>
      <c r="L5" s="203">
        <f>+IF(ISBLANK('Data Entry'!G16),"",'Data Entry'!G16)</f>
        <v>42369</v>
      </c>
    </row>
    <row r="6" spans="2:9" ht="18.75">
      <c r="B6" s="23"/>
      <c r="C6" s="24"/>
      <c r="D6" s="25"/>
      <c r="E6" s="746" t="s">
        <v>372</v>
      </c>
      <c r="F6" s="746"/>
      <c r="G6" s="746"/>
      <c r="H6" s="746"/>
      <c r="I6" s="746"/>
    </row>
    <row r="7" spans="5:9" ht="18.75">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5">
      <c r="B10" s="846"/>
      <c r="C10" s="847"/>
      <c r="D10" s="847"/>
      <c r="E10" s="847"/>
      <c r="F10" s="847"/>
      <c r="G10" s="847"/>
      <c r="H10" s="847"/>
      <c r="I10" s="847"/>
      <c r="J10" s="847"/>
      <c r="K10" s="847"/>
      <c r="L10" s="848"/>
    </row>
    <row r="11" spans="2:12" ht="15">
      <c r="B11" s="849"/>
      <c r="C11" s="850"/>
      <c r="D11" s="850"/>
      <c r="E11" s="850"/>
      <c r="F11" s="850"/>
      <c r="G11" s="850"/>
      <c r="H11" s="850"/>
      <c r="I11" s="850"/>
      <c r="J11" s="850"/>
      <c r="K11" s="850"/>
      <c r="L11" s="851"/>
    </row>
    <row r="12" ht="15.75" thickBot="1"/>
    <row r="13" spans="2:12" ht="26.25" customHeight="1" thickBot="1">
      <c r="B13" s="876" t="s">
        <v>305</v>
      </c>
      <c r="C13" s="877"/>
      <c r="D13" s="877"/>
      <c r="E13" s="878"/>
      <c r="F13" s="77"/>
      <c r="G13" s="870" t="s">
        <v>128</v>
      </c>
      <c r="H13" s="852"/>
      <c r="I13" s="852"/>
      <c r="J13" s="78" t="s">
        <v>97</v>
      </c>
      <c r="K13" s="852" t="s">
        <v>292</v>
      </c>
      <c r="L13" s="853"/>
    </row>
    <row r="14" spans="1:12" ht="15">
      <c r="A14" s="871" t="s">
        <v>306</v>
      </c>
      <c r="B14" s="854"/>
      <c r="C14" s="854"/>
      <c r="D14" s="854"/>
      <c r="E14" s="855"/>
      <c r="F14" s="46"/>
      <c r="G14" s="894"/>
      <c r="H14" s="893"/>
      <c r="I14" s="893"/>
      <c r="J14" s="893"/>
      <c r="K14" s="893"/>
      <c r="L14" s="896"/>
    </row>
    <row r="15" spans="1:12" ht="15">
      <c r="A15" s="872"/>
      <c r="B15" s="854"/>
      <c r="C15" s="854"/>
      <c r="D15" s="854"/>
      <c r="E15" s="855"/>
      <c r="F15" s="46"/>
      <c r="G15" s="874"/>
      <c r="H15" s="862"/>
      <c r="I15" s="862"/>
      <c r="J15" s="862"/>
      <c r="K15" s="862"/>
      <c r="L15" s="863"/>
    </row>
    <row r="16" spans="1:12" ht="15">
      <c r="A16" s="872"/>
      <c r="B16" s="854"/>
      <c r="C16" s="854"/>
      <c r="D16" s="854"/>
      <c r="E16" s="855"/>
      <c r="F16" s="46"/>
      <c r="G16" s="874"/>
      <c r="H16" s="862"/>
      <c r="I16" s="862"/>
      <c r="J16" s="862"/>
      <c r="K16" s="862"/>
      <c r="L16" s="863"/>
    </row>
    <row r="17" spans="1:12" ht="15">
      <c r="A17" s="872"/>
      <c r="B17" s="854"/>
      <c r="C17" s="854"/>
      <c r="D17" s="854"/>
      <c r="E17" s="855"/>
      <c r="F17" s="46"/>
      <c r="G17" s="874"/>
      <c r="H17" s="862"/>
      <c r="I17" s="862"/>
      <c r="J17" s="862"/>
      <c r="K17" s="862"/>
      <c r="L17" s="863"/>
    </row>
    <row r="18" spans="1:12" ht="15">
      <c r="A18" s="872"/>
      <c r="B18" s="854"/>
      <c r="C18" s="854"/>
      <c r="D18" s="854"/>
      <c r="E18" s="855"/>
      <c r="F18" s="46"/>
      <c r="G18" s="864"/>
      <c r="H18" s="865"/>
      <c r="I18" s="866"/>
      <c r="J18" s="862"/>
      <c r="K18" s="862"/>
      <c r="L18" s="863"/>
    </row>
    <row r="19" spans="1:12" ht="30.75" customHeight="1">
      <c r="A19" s="872"/>
      <c r="B19" s="854"/>
      <c r="C19" s="854"/>
      <c r="D19" s="854"/>
      <c r="E19" s="855"/>
      <c r="F19" s="46"/>
      <c r="G19" s="867"/>
      <c r="H19" s="868"/>
      <c r="I19" s="869"/>
      <c r="J19" s="862"/>
      <c r="K19" s="862"/>
      <c r="L19" s="863"/>
    </row>
    <row r="20" spans="1:12" ht="15">
      <c r="A20" s="872"/>
      <c r="B20" s="854"/>
      <c r="C20" s="854"/>
      <c r="D20" s="854"/>
      <c r="E20" s="855"/>
      <c r="F20" s="46"/>
      <c r="G20" s="874"/>
      <c r="H20" s="862"/>
      <c r="I20" s="862"/>
      <c r="J20" s="862"/>
      <c r="K20" s="862"/>
      <c r="L20" s="863"/>
    </row>
    <row r="21" spans="1:12" ht="15">
      <c r="A21" s="872"/>
      <c r="B21" s="854"/>
      <c r="C21" s="854"/>
      <c r="D21" s="854"/>
      <c r="E21" s="855"/>
      <c r="F21" s="46"/>
      <c r="G21" s="874"/>
      <c r="H21" s="862"/>
      <c r="I21" s="862"/>
      <c r="J21" s="862"/>
      <c r="K21" s="862"/>
      <c r="L21" s="863"/>
    </row>
    <row r="22" spans="1:12" ht="15">
      <c r="A22" s="872"/>
      <c r="B22" s="854"/>
      <c r="C22" s="854"/>
      <c r="D22" s="854"/>
      <c r="E22" s="855"/>
      <c r="F22" s="46"/>
      <c r="G22" s="874"/>
      <c r="H22" s="862"/>
      <c r="I22" s="862"/>
      <c r="J22" s="862"/>
      <c r="K22" s="862"/>
      <c r="L22" s="863"/>
    </row>
    <row r="23" spans="1:12" ht="15">
      <c r="A23" s="872"/>
      <c r="B23" s="854"/>
      <c r="C23" s="854"/>
      <c r="D23" s="854"/>
      <c r="E23" s="855"/>
      <c r="F23" s="46"/>
      <c r="G23" s="874"/>
      <c r="H23" s="862"/>
      <c r="I23" s="862"/>
      <c r="J23" s="862"/>
      <c r="K23" s="862"/>
      <c r="L23" s="863"/>
    </row>
    <row r="24" spans="1:12" ht="15">
      <c r="A24" s="872"/>
      <c r="B24" s="854"/>
      <c r="C24" s="854"/>
      <c r="D24" s="854"/>
      <c r="E24" s="855"/>
      <c r="F24" s="46"/>
      <c r="G24" s="874"/>
      <c r="H24" s="862"/>
      <c r="I24" s="862"/>
      <c r="J24" s="862"/>
      <c r="K24" s="862"/>
      <c r="L24" s="863"/>
    </row>
    <row r="25" spans="1:12" ht="15.75" thickBot="1">
      <c r="A25" s="873"/>
      <c r="B25" s="856"/>
      <c r="C25" s="856"/>
      <c r="D25" s="856"/>
      <c r="E25" s="857"/>
      <c r="F25" s="46"/>
      <c r="G25" s="879"/>
      <c r="H25" s="880"/>
      <c r="I25" s="880"/>
      <c r="J25" s="880"/>
      <c r="K25" s="880"/>
      <c r="L25" s="897"/>
    </row>
    <row r="27" spans="5:9" ht="18.75">
      <c r="E27" s="875" t="s">
        <v>335</v>
      </c>
      <c r="F27" s="875"/>
      <c r="G27" s="875"/>
      <c r="H27" s="875"/>
      <c r="I27" s="875"/>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76" t="s">
        <v>128</v>
      </c>
      <c r="C31" s="877"/>
      <c r="D31" s="877"/>
      <c r="E31" s="878"/>
      <c r="F31" s="77"/>
      <c r="G31" s="870" t="s">
        <v>320</v>
      </c>
      <c r="H31" s="852"/>
      <c r="I31" s="852"/>
      <c r="J31" s="78" t="s">
        <v>294</v>
      </c>
      <c r="K31" s="852" t="s">
        <v>292</v>
      </c>
      <c r="L31" s="853"/>
    </row>
    <row r="32" spans="1:12" ht="14.25" customHeight="1">
      <c r="A32" s="871" t="s">
        <v>307</v>
      </c>
      <c r="B32" s="881"/>
      <c r="C32" s="882"/>
      <c r="D32" s="882"/>
      <c r="E32" s="883"/>
      <c r="F32" s="46"/>
      <c r="G32" s="858"/>
      <c r="H32" s="859"/>
      <c r="I32" s="859"/>
      <c r="J32" s="859"/>
      <c r="K32" s="859"/>
      <c r="L32" s="900"/>
    </row>
    <row r="33" spans="1:12" ht="16.5" customHeight="1">
      <c r="A33" s="872"/>
      <c r="B33" s="867"/>
      <c r="C33" s="868"/>
      <c r="D33" s="868"/>
      <c r="E33" s="884"/>
      <c r="F33" s="46"/>
      <c r="G33" s="860"/>
      <c r="H33" s="861"/>
      <c r="I33" s="861"/>
      <c r="J33" s="861"/>
      <c r="K33" s="861"/>
      <c r="L33" s="898"/>
    </row>
    <row r="34" spans="1:12" ht="15">
      <c r="A34" s="872"/>
      <c r="B34" s="885">
        <f>IF(Recommendations!I43="","",Recommendations!I43)</f>
      </c>
      <c r="C34" s="886"/>
      <c r="D34" s="886"/>
      <c r="E34" s="887"/>
      <c r="F34" s="46"/>
      <c r="G34" s="860"/>
      <c r="H34" s="861"/>
      <c r="I34" s="861"/>
      <c r="J34" s="861"/>
      <c r="K34" s="861"/>
      <c r="L34" s="898"/>
    </row>
    <row r="35" spans="1:12" ht="15">
      <c r="A35" s="872"/>
      <c r="B35" s="885"/>
      <c r="C35" s="886"/>
      <c r="D35" s="886"/>
      <c r="E35" s="887"/>
      <c r="F35" s="46"/>
      <c r="G35" s="860"/>
      <c r="H35" s="861"/>
      <c r="I35" s="861"/>
      <c r="J35" s="861"/>
      <c r="K35" s="861"/>
      <c r="L35" s="898"/>
    </row>
    <row r="36" spans="1:12" ht="15">
      <c r="A36" s="872"/>
      <c r="B36" s="885">
        <f>+IF(Recommendations!I53="","",Recommendations!I53)</f>
      </c>
      <c r="C36" s="886"/>
      <c r="D36" s="886"/>
      <c r="E36" s="887"/>
      <c r="F36" s="46"/>
      <c r="G36" s="860"/>
      <c r="H36" s="861"/>
      <c r="I36" s="861"/>
      <c r="J36" s="861"/>
      <c r="K36" s="861"/>
      <c r="L36" s="898"/>
    </row>
    <row r="37" spans="1:12" ht="15">
      <c r="A37" s="872"/>
      <c r="B37" s="885"/>
      <c r="C37" s="886"/>
      <c r="D37" s="886"/>
      <c r="E37" s="887"/>
      <c r="F37" s="46"/>
      <c r="G37" s="860"/>
      <c r="H37" s="861"/>
      <c r="I37" s="861"/>
      <c r="J37" s="861"/>
      <c r="K37" s="861"/>
      <c r="L37" s="898"/>
    </row>
    <row r="38" spans="1:12" ht="15">
      <c r="A38" s="872"/>
      <c r="B38" s="885"/>
      <c r="C38" s="886"/>
      <c r="D38" s="886"/>
      <c r="E38" s="887"/>
      <c r="F38" s="46"/>
      <c r="G38" s="860"/>
      <c r="H38" s="861"/>
      <c r="I38" s="861"/>
      <c r="J38" s="861"/>
      <c r="K38" s="861"/>
      <c r="L38" s="898"/>
    </row>
    <row r="39" spans="1:12" ht="15">
      <c r="A39" s="872"/>
      <c r="B39" s="885"/>
      <c r="C39" s="886"/>
      <c r="D39" s="886"/>
      <c r="E39" s="887"/>
      <c r="F39" s="46"/>
      <c r="G39" s="860"/>
      <c r="H39" s="861"/>
      <c r="I39" s="861"/>
      <c r="J39" s="861"/>
      <c r="K39" s="861"/>
      <c r="L39" s="898"/>
    </row>
    <row r="40" spans="1:12" ht="15">
      <c r="A40" s="872"/>
      <c r="B40" s="885"/>
      <c r="C40" s="886"/>
      <c r="D40" s="886"/>
      <c r="E40" s="887"/>
      <c r="F40" s="46"/>
      <c r="G40" s="860"/>
      <c r="H40" s="861"/>
      <c r="I40" s="861"/>
      <c r="J40" s="861"/>
      <c r="K40" s="861"/>
      <c r="L40" s="898"/>
    </row>
    <row r="41" spans="1:12" ht="15">
      <c r="A41" s="872"/>
      <c r="B41" s="885"/>
      <c r="C41" s="886"/>
      <c r="D41" s="886"/>
      <c r="E41" s="887"/>
      <c r="F41" s="46"/>
      <c r="G41" s="860"/>
      <c r="H41" s="861"/>
      <c r="I41" s="861"/>
      <c r="J41" s="861"/>
      <c r="K41" s="861"/>
      <c r="L41" s="898"/>
    </row>
    <row r="42" spans="1:12" ht="15">
      <c r="A42" s="872"/>
      <c r="B42" s="885"/>
      <c r="C42" s="886"/>
      <c r="D42" s="886"/>
      <c r="E42" s="887"/>
      <c r="F42" s="46"/>
      <c r="G42" s="860"/>
      <c r="H42" s="861"/>
      <c r="I42" s="861"/>
      <c r="J42" s="861"/>
      <c r="K42" s="861"/>
      <c r="L42" s="898"/>
    </row>
    <row r="43" spans="1:12" ht="15.75" thickBot="1">
      <c r="A43" s="873"/>
      <c r="B43" s="888"/>
      <c r="C43" s="889"/>
      <c r="D43" s="889"/>
      <c r="E43" s="890"/>
      <c r="F43" s="46"/>
      <c r="G43" s="891"/>
      <c r="H43" s="892"/>
      <c r="I43" s="892"/>
      <c r="J43" s="892"/>
      <c r="K43" s="892"/>
      <c r="L43" s="89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2009-11-06T15:57:56Z</cp:lastPrinted>
  <dcterms:created xsi:type="dcterms:W3CDTF">2008-11-20T16:06:13Z</dcterms:created>
  <dcterms:modified xsi:type="dcterms:W3CDTF">2016-03-04T16:33:44Z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