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user\Documents\Anne\CCM\CCM related\Oversight\Dashboards\2016 Feb\Malaria\"/>
    </mc:Choice>
  </mc:AlternateContent>
  <bookViews>
    <workbookView xWindow="0" yWindow="0" windowWidth="24000" windowHeight="9435" tabRatio="711" firstSheet="4" activeTab="2"/>
  </bookViews>
  <sheets>
    <sheet name="Menu" sheetId="1" r:id="rId1"/>
    <sheet name="List of Indicators" sheetId="45" r:id="rId2"/>
    <sheet name="Data Entry" sheetId="29" r:id="rId3"/>
    <sheet name="Grant Detail" sheetId="27" r:id="rId4"/>
    <sheet name="Finance" sheetId="30" r:id="rId5"/>
    <sheet name="Programmatic" sheetId="37" r:id="rId6"/>
    <sheet name="Management" sheetId="35" r:id="rId7"/>
    <sheet name="Actions" sheetId="39" r:id="rId8"/>
    <sheet name="Notes" sheetId="46" r:id="rId9"/>
    <sheet name="Recommendations" sheetId="42"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7">Actions!$A$1:$L$43</definedName>
    <definedName name="_xlnm.Print_Area" localSheetId="4">Finance!$A$2:$K$31</definedName>
    <definedName name="_xlnm.Print_Area" localSheetId="6">Management!$A$1:$L$34</definedName>
    <definedName name="_xlnm.Print_Area" localSheetId="5">Programmatic!$A$1:$Q$29</definedName>
    <definedName name="PrintA">Actions!$A$2:$L$34</definedName>
    <definedName name="PrintDataF">'Data Entry'!$B$25:$J$69</definedName>
    <definedName name="PrintDataM">'Data Entry'!$B$71:$H$115</definedName>
    <definedName name="PrintF">Finance!$A$2:$K$31</definedName>
    <definedName name="PrintGD">'Grant Detail'!$A$2:$J$13</definedName>
    <definedName name="PrintM" localSheetId="7">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workbook>
</file>

<file path=xl/calcChain.xml><?xml version="1.0" encoding="utf-8"?>
<calcChain xmlns="http://schemas.openxmlformats.org/spreadsheetml/2006/main">
  <c r="D52" i="29" l="1"/>
  <c r="E50" i="29"/>
  <c r="E51" i="29"/>
  <c r="O31" i="29"/>
  <c r="E54" i="29" l="1"/>
  <c r="F40" i="29" l="1"/>
  <c r="F41" i="29"/>
  <c r="F42" i="29"/>
  <c r="F43" i="29"/>
  <c r="F44" i="29"/>
  <c r="F45" i="29"/>
  <c r="F46" i="29"/>
  <c r="F47" i="29"/>
  <c r="F48" i="29"/>
  <c r="F39" i="29"/>
  <c r="A10" i="46" l="1"/>
  <c r="D97" i="29" l="1"/>
  <c r="E97" i="29"/>
  <c r="F97" i="29"/>
  <c r="G97" i="29"/>
  <c r="H97" i="29"/>
  <c r="I97" i="29"/>
  <c r="J97" i="29"/>
  <c r="K97" i="29"/>
  <c r="L97" i="29"/>
  <c r="M97" i="29"/>
  <c r="N97" i="29"/>
  <c r="C97" i="29"/>
  <c r="C51" i="29" l="1"/>
  <c r="C33" i="29"/>
  <c r="R29" i="29" s="1"/>
  <c r="D33" i="29"/>
  <c r="D35" i="29" s="1"/>
  <c r="G33" i="29"/>
  <c r="H33" i="29" s="1"/>
  <c r="C104" i="29"/>
  <c r="D104" i="29" s="1"/>
  <c r="E104" i="29" s="1"/>
  <c r="F104" i="29" s="1"/>
  <c r="G104" i="29" s="1"/>
  <c r="H104" i="29" s="1"/>
  <c r="I104" i="29" s="1"/>
  <c r="J104" i="29" s="1"/>
  <c r="K104" i="29" s="1"/>
  <c r="L104" i="29" s="1"/>
  <c r="M104" i="29" s="1"/>
  <c r="N104" i="29" s="1"/>
  <c r="C102" i="29"/>
  <c r="D102" i="29" s="1"/>
  <c r="E102" i="29" s="1"/>
  <c r="F102" i="29" s="1"/>
  <c r="G102" i="29" s="1"/>
  <c r="H102" i="29" s="1"/>
  <c r="I102" i="29" s="1"/>
  <c r="J102" i="29" s="1"/>
  <c r="K102" i="29" s="1"/>
  <c r="L102" i="29" s="1"/>
  <c r="M102" i="29" s="1"/>
  <c r="N102" i="29" s="1"/>
  <c r="N34" i="29"/>
  <c r="D51" i="29"/>
  <c r="K28" i="30"/>
  <c r="J16" i="29"/>
  <c r="G13" i="27" s="1"/>
  <c r="B27" i="37"/>
  <c r="B1" i="46"/>
  <c r="G94" i="29"/>
  <c r="F90" i="29"/>
  <c r="H109" i="29"/>
  <c r="G85" i="29"/>
  <c r="E80" i="29"/>
  <c r="F73" i="29"/>
  <c r="E55" i="29"/>
  <c r="E114" i="29"/>
  <c r="G114" i="29" s="1"/>
  <c r="I114" i="29" s="1"/>
  <c r="E113" i="29"/>
  <c r="G113" i="29" s="1"/>
  <c r="I113" i="29" s="1"/>
  <c r="E112" i="29"/>
  <c r="G112" i="29" s="1"/>
  <c r="I112" i="29" s="1"/>
  <c r="E115" i="29"/>
  <c r="G115" i="29" s="1"/>
  <c r="I115" i="29" s="1"/>
  <c r="S120" i="29"/>
  <c r="R120" i="29"/>
  <c r="Q120" i="29"/>
  <c r="P120" i="29"/>
  <c r="O120" i="29"/>
  <c r="N120" i="29"/>
  <c r="M120" i="29"/>
  <c r="L120" i="29"/>
  <c r="K120" i="29"/>
  <c r="J120" i="29"/>
  <c r="I120" i="29"/>
  <c r="H120" i="29"/>
  <c r="N98" i="29"/>
  <c r="M98" i="29"/>
  <c r="L98" i="29"/>
  <c r="K98" i="29"/>
  <c r="J98" i="29"/>
  <c r="I98" i="29"/>
  <c r="H98" i="29"/>
  <c r="G98" i="29"/>
  <c r="F98" i="29"/>
  <c r="E98" i="29"/>
  <c r="D98" i="29"/>
  <c r="C98" i="29"/>
  <c r="B3" i="27"/>
  <c r="B2" i="37" s="1"/>
  <c r="E27" i="37"/>
  <c r="E26" i="37"/>
  <c r="E25" i="37"/>
  <c r="E24" i="37"/>
  <c r="E23" i="37"/>
  <c r="F25" i="37"/>
  <c r="F24" i="37"/>
  <c r="F23" i="37"/>
  <c r="F26" i="37"/>
  <c r="F27" i="37"/>
  <c r="F28" i="37"/>
  <c r="E28" i="37"/>
  <c r="F22" i="37"/>
  <c r="E22" i="37"/>
  <c r="F21" i="37"/>
  <c r="F20" i="37"/>
  <c r="E21" i="37"/>
  <c r="E20" i="37"/>
  <c r="J3" i="35"/>
  <c r="L3" i="35"/>
  <c r="I3" i="30"/>
  <c r="K3" i="30"/>
  <c r="T141" i="29"/>
  <c r="T140" i="29"/>
  <c r="T137" i="29"/>
  <c r="T136" i="29"/>
  <c r="T133" i="29"/>
  <c r="T132" i="29"/>
  <c r="T129" i="29"/>
  <c r="T128" i="29"/>
  <c r="T125" i="29"/>
  <c r="T124" i="29"/>
  <c r="T139" i="29"/>
  <c r="T138" i="29"/>
  <c r="T135" i="29"/>
  <c r="T134" i="29"/>
  <c r="T131" i="29"/>
  <c r="T130" i="29"/>
  <c r="T127" i="29"/>
  <c r="T126" i="29"/>
  <c r="T123" i="29"/>
  <c r="T122" i="29"/>
  <c r="H9" i="27"/>
  <c r="K5" i="30"/>
  <c r="K4" i="30"/>
  <c r="L5" i="35"/>
  <c r="L4" i="35"/>
  <c r="Q5" i="37"/>
  <c r="Q4" i="37"/>
  <c r="M5" i="42"/>
  <c r="M4" i="42"/>
  <c r="L5" i="39"/>
  <c r="L4" i="39"/>
  <c r="C4" i="39"/>
  <c r="C3" i="39"/>
  <c r="B3" i="39"/>
  <c r="C4" i="42"/>
  <c r="C3" i="42"/>
  <c r="B3" i="42"/>
  <c r="C4" i="37"/>
  <c r="C3" i="37"/>
  <c r="B3" i="37"/>
  <c r="C4" i="35"/>
  <c r="C3" i="35"/>
  <c r="B3" i="35"/>
  <c r="C4" i="30"/>
  <c r="C3" i="30"/>
  <c r="B3" i="30"/>
  <c r="I9" i="27"/>
  <c r="G9" i="27"/>
  <c r="G11" i="27"/>
  <c r="D11" i="27"/>
  <c r="B12" i="27"/>
  <c r="I11" i="27"/>
  <c r="D10" i="27"/>
  <c r="B10" i="27"/>
  <c r="B9" i="27"/>
  <c r="B6" i="27"/>
  <c r="B4" i="1"/>
  <c r="E94" i="29"/>
  <c r="E93" i="29"/>
  <c r="C34" i="29"/>
  <c r="D34" i="29" s="1"/>
  <c r="E34" i="29" s="1"/>
  <c r="F34" i="29" s="1"/>
  <c r="G34" i="29"/>
  <c r="H34" i="29"/>
  <c r="I34" i="29"/>
  <c r="J34" i="29"/>
  <c r="K34" i="29"/>
  <c r="L34" i="29"/>
  <c r="M34" i="29"/>
  <c r="D11" i="42"/>
  <c r="D33" i="42"/>
  <c r="D34" i="42"/>
  <c r="D35" i="42"/>
  <c r="D36" i="42"/>
  <c r="D37" i="42"/>
  <c r="D38" i="42"/>
  <c r="D39" i="42"/>
  <c r="D40" i="42"/>
  <c r="D41" i="42"/>
  <c r="D32" i="42"/>
  <c r="D31" i="42"/>
  <c r="D30" i="42"/>
  <c r="D29" i="42"/>
  <c r="K30" i="35"/>
  <c r="K31" i="35"/>
  <c r="K32" i="35"/>
  <c r="K33" i="35"/>
  <c r="L148" i="29"/>
  <c r="M148" i="29"/>
  <c r="N148" i="29"/>
  <c r="O148" i="29"/>
  <c r="P148" i="29"/>
  <c r="Q148" i="29"/>
  <c r="R148" i="29"/>
  <c r="S148" i="29"/>
  <c r="L149" i="29"/>
  <c r="M149" i="29"/>
  <c r="N149" i="29"/>
  <c r="O149" i="29"/>
  <c r="P149" i="29"/>
  <c r="Q149" i="29"/>
  <c r="R149" i="29"/>
  <c r="S149" i="29"/>
  <c r="L150" i="29"/>
  <c r="M150" i="29"/>
  <c r="N150" i="29"/>
  <c r="O150" i="29"/>
  <c r="P150" i="29"/>
  <c r="Q150" i="29"/>
  <c r="R150" i="29"/>
  <c r="S150" i="29"/>
  <c r="L151" i="29"/>
  <c r="M151" i="29"/>
  <c r="N151" i="29"/>
  <c r="O151" i="29"/>
  <c r="P151" i="29"/>
  <c r="Q151" i="29"/>
  <c r="R151" i="29"/>
  <c r="S151" i="29"/>
  <c r="L152" i="29"/>
  <c r="M152" i="29"/>
  <c r="N152" i="29"/>
  <c r="O152" i="29"/>
  <c r="P152" i="29"/>
  <c r="Q152" i="29"/>
  <c r="R152" i="29"/>
  <c r="S152" i="29"/>
  <c r="M147" i="29"/>
  <c r="N147" i="29"/>
  <c r="O147" i="29"/>
  <c r="P147" i="29"/>
  <c r="Q147" i="29"/>
  <c r="R147" i="29"/>
  <c r="S147" i="29"/>
  <c r="F149" i="29"/>
  <c r="F151" i="29"/>
  <c r="F147" i="29"/>
  <c r="E149" i="29"/>
  <c r="E151" i="29"/>
  <c r="E147" i="29"/>
  <c r="B149" i="29"/>
  <c r="B151" i="29"/>
  <c r="B147" i="29"/>
  <c r="B32" i="29"/>
  <c r="D38" i="29"/>
  <c r="C38" i="29"/>
  <c r="B31" i="29"/>
  <c r="H29" i="30"/>
  <c r="H28" i="30"/>
  <c r="H27" i="30"/>
  <c r="D24" i="42"/>
  <c r="D23" i="42"/>
  <c r="D22" i="42"/>
  <c r="D21" i="42"/>
  <c r="D20" i="42"/>
  <c r="D19" i="42"/>
  <c r="D14" i="42"/>
  <c r="D13" i="42"/>
  <c r="D12" i="42"/>
  <c r="B26" i="45"/>
  <c r="B24" i="45"/>
  <c r="B23" i="45"/>
  <c r="B22" i="45"/>
  <c r="B21" i="45"/>
  <c r="B20" i="45"/>
  <c r="B12" i="45"/>
  <c r="B10" i="45"/>
  <c r="B9" i="45"/>
  <c r="B8" i="45"/>
  <c r="B4" i="37"/>
  <c r="B4" i="35"/>
  <c r="B4" i="30"/>
  <c r="G12" i="27"/>
  <c r="H4" i="1"/>
  <c r="K152" i="29"/>
  <c r="K151" i="29"/>
  <c r="K150" i="29"/>
  <c r="K149" i="29"/>
  <c r="K148" i="29"/>
  <c r="K147" i="29"/>
  <c r="K27" i="30"/>
  <c r="J27" i="30"/>
  <c r="J28" i="30"/>
  <c r="K29" i="30"/>
  <c r="J29" i="30"/>
  <c r="E56"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3" i="29"/>
  <c r="D103" i="29"/>
  <c r="E103" i="29" s="1"/>
  <c r="F103" i="29" s="1"/>
  <c r="G103" i="29" s="1"/>
  <c r="H103" i="29" s="1"/>
  <c r="I103" i="29" s="1"/>
  <c r="J103" i="29" s="1"/>
  <c r="K103" i="29" s="1"/>
  <c r="L103" i="29" s="1"/>
  <c r="M103" i="29" s="1"/>
  <c r="N103" i="29" s="1"/>
  <c r="D5" i="35"/>
  <c r="E4" i="35"/>
  <c r="K5" i="35"/>
  <c r="J4" i="35"/>
  <c r="D5" i="37"/>
  <c r="P5" i="37"/>
  <c r="P4" i="37"/>
  <c r="O3" i="37"/>
  <c r="J5" i="30"/>
  <c r="D5" i="30"/>
  <c r="I4" i="30"/>
  <c r="E4" i="30"/>
  <c r="L8" i="37"/>
  <c r="F8" i="37"/>
  <c r="B8" i="37"/>
  <c r="L147" i="29"/>
  <c r="J152" i="29"/>
  <c r="J151" i="29"/>
  <c r="J150" i="29"/>
  <c r="J149" i="29"/>
  <c r="J148" i="29"/>
  <c r="J147" i="29"/>
  <c r="I152" i="29"/>
  <c r="I151" i="29"/>
  <c r="I150" i="29"/>
  <c r="I149" i="29"/>
  <c r="I148" i="29"/>
  <c r="I147" i="29"/>
  <c r="H152" i="29"/>
  <c r="H151" i="29"/>
  <c r="H150" i="29"/>
  <c r="H149" i="29"/>
  <c r="H148" i="29"/>
  <c r="H147" i="29"/>
  <c r="B26" i="37"/>
  <c r="B25" i="37"/>
  <c r="B24" i="37"/>
  <c r="B23" i="37"/>
  <c r="S146" i="29"/>
  <c r="R146" i="29"/>
  <c r="Q146" i="29"/>
  <c r="P146" i="29"/>
  <c r="O146" i="29"/>
  <c r="B22" i="37"/>
  <c r="B21" i="37"/>
  <c r="B20" i="37"/>
  <c r="E59" i="29"/>
  <c r="N146" i="29"/>
  <c r="M146" i="29"/>
  <c r="L146" i="29"/>
  <c r="K146" i="29"/>
  <c r="J146" i="29"/>
  <c r="I146" i="29"/>
  <c r="H146" i="29"/>
  <c r="B36" i="39"/>
  <c r="B34" i="39"/>
  <c r="E58" i="29"/>
  <c r="B34" i="35"/>
  <c r="Z24" i="37"/>
  <c r="AA24" i="37"/>
  <c r="AD24" i="37"/>
  <c r="Z23" i="37"/>
  <c r="AA23" i="37"/>
  <c r="AF23" i="37"/>
  <c r="Z22" i="37"/>
  <c r="AA22" i="37"/>
  <c r="AC22" i="37"/>
  <c r="AE22" i="37"/>
  <c r="AF21" i="37"/>
  <c r="AE21" i="37"/>
  <c r="AD21" i="37"/>
  <c r="AC21" i="37"/>
  <c r="AB21" i="37"/>
  <c r="E20" i="42"/>
  <c r="F20" i="42"/>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G29" i="37"/>
  <c r="AD22" i="37"/>
  <c r="AB22" i="37"/>
  <c r="AB24" i="37"/>
  <c r="AE24" i="37"/>
  <c r="AC24" i="37"/>
  <c r="AF24" i="37"/>
  <c r="AB23" i="37"/>
  <c r="I33" i="29"/>
  <c r="R35" i="29" s="1"/>
  <c r="J33" i="29"/>
  <c r="R53" i="29" s="1"/>
  <c r="K33" i="29"/>
  <c r="R54" i="29" s="1"/>
  <c r="L33" i="29"/>
  <c r="L35" i="29" s="1"/>
  <c r="M33" i="29"/>
  <c r="Q55" i="29" s="1"/>
  <c r="N33" i="29"/>
  <c r="N35" i="29" s="1"/>
  <c r="AC23" i="37"/>
  <c r="AE23" i="37"/>
  <c r="AD23" i="37"/>
  <c r="AF22" i="37"/>
  <c r="E33" i="29" l="1"/>
  <c r="R31" i="29" s="1"/>
  <c r="D57" i="29"/>
  <c r="E57" i="29" s="1"/>
  <c r="D54" i="29"/>
  <c r="D53" i="29"/>
  <c r="E42" i="29"/>
  <c r="E47" i="29"/>
  <c r="E41" i="29"/>
  <c r="C54" i="29"/>
  <c r="E43" i="29"/>
  <c r="E40" i="29"/>
  <c r="E48" i="29"/>
  <c r="E44" i="29"/>
  <c r="E45" i="29"/>
  <c r="E46" i="29"/>
  <c r="E39" i="29"/>
  <c r="B2" i="39"/>
  <c r="F33" i="29"/>
  <c r="R32" i="29" s="1"/>
  <c r="J31" i="35"/>
  <c r="K113" i="29"/>
  <c r="L31" i="35" s="1"/>
  <c r="K114" i="29"/>
  <c r="L32" i="35" s="1"/>
  <c r="J32" i="35"/>
  <c r="K112" i="29"/>
  <c r="L30" i="35" s="1"/>
  <c r="J30" i="35"/>
  <c r="K115" i="29"/>
  <c r="L33" i="35" s="1"/>
  <c r="J33" i="35"/>
  <c r="B7" i="35"/>
  <c r="B2" i="1"/>
  <c r="H8" i="30"/>
  <c r="F35" i="29"/>
  <c r="I35" i="29"/>
  <c r="E35" i="29"/>
  <c r="R30" i="29"/>
  <c r="J35" i="29"/>
  <c r="B2" i="30"/>
  <c r="B8" i="30"/>
  <c r="B15" i="35"/>
  <c r="B2" i="42"/>
  <c r="B2" i="45"/>
  <c r="B2" i="35"/>
  <c r="B3" i="32"/>
  <c r="H26" i="35"/>
  <c r="H15" i="35"/>
  <c r="H7" i="35"/>
  <c r="B22" i="30"/>
  <c r="H22" i="30"/>
  <c r="G35" i="29"/>
  <c r="G21" i="37"/>
  <c r="G22" i="37"/>
  <c r="G27" i="37"/>
  <c r="G26" i="37"/>
  <c r="F51" i="29"/>
  <c r="H35" i="29"/>
  <c r="R34" i="29"/>
  <c r="R33" i="29"/>
  <c r="C35" i="29"/>
  <c r="M35" i="29"/>
  <c r="K35" i="29"/>
  <c r="G23" i="37"/>
  <c r="G28" i="37"/>
  <c r="G24" i="37"/>
  <c r="G20" i="37"/>
  <c r="G25" i="37"/>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6" authorId="1" shapeId="0">
      <text>
        <r>
          <rPr>
            <b/>
            <sz val="8"/>
            <color indexed="81"/>
            <rFont val="Tahoma"/>
            <family val="2"/>
          </rPr>
          <t xml:space="preserve">If data are not available, do not enter zeros; rather, leave the cells in the table blank. </t>
        </r>
      </text>
    </comment>
    <comment ref="B77" authorId="1" shapeId="0">
      <text>
        <r>
          <rPr>
            <b/>
            <sz val="8"/>
            <color indexed="81"/>
            <rFont val="Tahoma"/>
            <family val="2"/>
          </rPr>
          <t>If data are not available, do not enter zeros; rather, leave the cells in this table blank.</t>
        </r>
      </text>
    </comment>
    <comment ref="B83" authorId="0" shapeId="0">
      <text>
        <r>
          <rPr>
            <sz val="8"/>
            <color indexed="81"/>
            <rFont val="Tahoma"/>
            <family val="2"/>
          </rPr>
          <t xml:space="preserve">If data are not available, do not enter zeros; rather, leave the cells in this table blank. </t>
        </r>
      </text>
    </comment>
    <comment ref="B98"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<sst xmlns="http://schemas.openxmlformats.org/spreadsheetml/2006/main" count="648" uniqueCount="517">
  <si>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</si>
  <si>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</si>
  <si>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</si>
  <si>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</si>
  <si>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</si>
  <si>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</si>
  <si>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</si>
  <si>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</si>
  <si>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</si>
  <si>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</si>
  <si>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</si>
  <si>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</si>
  <si>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</si>
  <si>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</si>
  <si>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</si>
  <si>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</si>
  <si>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</si>
  <si>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</si>
  <si>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</si>
  <si>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</si>
  <si>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</si>
  <si>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</si>
  <si>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</si>
  <si>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</si>
  <si>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</si>
  <si>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</si>
  <si>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</si>
  <si>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</si>
  <si>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</si>
  <si>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</si>
  <si>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</si>
  <si>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</si>
  <si>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</si>
  <si>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</si>
  <si>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</si>
  <si>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</si>
  <si>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</si>
  <si>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</si>
  <si>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</si>
  <si>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</si>
  <si>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</si>
  <si>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</si>
  <si>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</si>
  <si>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</si>
  <si>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</si>
  <si>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</si>
  <si>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</si>
  <si>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</si>
  <si>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</si>
  <si>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</si>
  <si>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</si>
  <si>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</si>
  <si>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</si>
  <si>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</si>
  <si>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</si>
  <si>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</si>
  <si>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</si>
  <si>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</si>
  <si>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</si>
  <si>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</si>
  <si>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</si>
  <si>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</si>
  <si>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</si>
  <si>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</si>
  <si>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</si>
  <si>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</si>
  <si>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</si>
  <si>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</si>
  <si>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</si>
  <si>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</si>
  <si>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</si>
  <si>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</si>
  <si>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</si>
  <si>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</si>
  <si>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</si>
  <si>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</si>
  <si>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</si>
  <si>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</si>
  <si>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</si>
  <si>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</si>
  <si>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</si>
  <si>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</si>
  <si>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</si>
  <si>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</si>
  <si>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</si>
  <si>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</si>
  <si>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</si>
  <si>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</si>
  <si>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</si>
  <si>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</si>
  <si>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</si>
  <si>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</si>
  <si>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</si>
  <si>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</si>
  <si>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</si>
  <si>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</si>
  <si>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</si>
  <si>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</si>
  <si>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</si>
  <si>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</si>
  <si>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</si>
  <si>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</si>
  <si>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</si>
  <si>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</si>
  <si>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</si>
  <si>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</si>
  <si>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</si>
  <si>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</si>
  <si>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</si>
  <si>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</si>
  <si>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</si>
  <si>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</si>
  <si>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</si>
  <si>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</si>
  <si>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</si>
  <si>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</si>
  <si>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</si>
  <si>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</si>
  <si>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</si>
  <si>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</si>
  <si>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</si>
  <si>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</si>
  <si>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</si>
  <si>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</si>
  <si>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</si>
  <si>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</si>
  <si>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</si>
  <si>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</si>
  <si>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</si>
  <si>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</si>
  <si>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</si>
  <si>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</si>
  <si>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</si>
  <si>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</si>
  <si>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</si>
  <si>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</si>
  <si>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</si>
  <si>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</si>
  <si>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</si>
  <si>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</si>
  <si>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</si>
  <si>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</si>
  <si>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</si>
  <si>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</si>
  <si>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</si>
  <si>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</si>
  <si>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</si>
  <si>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</si>
  <si>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</si>
  <si>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</si>
  <si>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</si>
  <si>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</si>
  <si>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</si>
  <si>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</si>
  <si>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</si>
  <si>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</si>
  <si>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</si>
  <si>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</si>
  <si>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</si>
  <si>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</si>
  <si>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</si>
  <si>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</si>
  <si>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</si>
  <si>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</si>
  <si>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</si>
  <si>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</si>
  <si>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</si>
  <si>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</si>
  <si>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</si>
  <si>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</si>
  <si>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</si>
  <si>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</si>
  <si>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</si>
  <si>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</si>
  <si>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</si>
  <si>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</si>
  <si>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</si>
  <si>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</si>
  <si>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</si>
  <si>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</si>
  <si>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</si>
  <si>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</si>
  <si>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</si>
  <si>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</si>
  <si>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</si>
  <si>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</si>
  <si>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</si>
  <si>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</si>
  <si>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</si>
  <si>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</si>
  <si>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</si>
  <si>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</si>
  <si>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</si>
  <si>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</si>
  <si>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</si>
  <si>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</si>
  <si>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</si>
  <si>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</si>
  <si>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</si>
  <si>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</si>
  <si>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</si>
  <si>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</si>
  <si>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</si>
  <si>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</si>
  <si>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</si>
  <si>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</si>
  <si>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</si>
  <si>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</si>
  <si>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</si>
  <si>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</si>
  <si>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</si>
  <si>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</si>
  <si>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</si>
  <si>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</si>
  <si>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</si>
  <si>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</si>
  <si>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</si>
  <si>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</si>
  <si>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</si>
  <si>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</si>
  <si>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</si>
  <si>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</si>
  <si>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</si>
  <si>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</si>
  <si>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</si>
  <si>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</si>
  <si>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</si>
  <si>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</si>
  <si>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</si>
  <si>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</si>
  <si>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</si>
  <si>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</si>
  <si>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</si>
  <si>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</si>
  <si>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</si>
  <si>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</si>
  <si>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</si>
  <si>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</si>
  <si>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</si>
  <si>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</si>
  <si>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</si>
  <si>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</si>
  <si>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</si>
  <si>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</si>
  <si>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</si>
  <si>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</si>
  <si>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</si>
  <si>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</si>
  <si>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</si>
  <si>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</si>
  <si>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</si>
  <si>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</si>
  <si>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</si>
  <si>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</si>
  <si>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</si>
  <si>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</si>
  <si>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</si>
  <si>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</si>
  <si>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</si>
  <si>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</si>
  <si>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</si>
  <si>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</si>
  <si>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</si>
  <si>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</si>
  <si>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</si>
  <si>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</si>
  <si>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</si>
  <si>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</si>
  <si>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</si>
  <si>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</si>
  <si>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</si>
  <si>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</si>
  <si>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</si>
  <si>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</si>
  <si>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</si>
  <si>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</si>
  <si>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</si>
  <si>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</si>
  <si>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</si>
  <si>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</si>
  <si>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</si>
  <si>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</si>
  <si>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</si>
  <si>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</si>
  <si>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</si>
  <si>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</si>
  <si>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</si>
  <si>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</si>
  <si>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</si>
  <si>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</si>
  <si>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</si>
  <si>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</si>
  <si>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</si>
  <si>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</si>
  <si>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</si>
  <si>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</si>
  <si>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</si>
  <si>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</si>
  <si>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</si>
  <si>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</si>
  <si>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</si>
  <si>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</si>
  <si>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</si>
  <si>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</si>
  <si>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</si>
  <si>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</si>
  <si>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</si>
  <si>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</si>
  <si>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</si>
  <si>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</si>
  <si>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</si>
  <si>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</si>
  <si>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</si>
  <si>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</si>
  <si>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</si>
  <si>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</si>
  <si>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</si>
  <si>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</si>
  <si>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</si>
  <si>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</si>
  <si>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</si>
  <si>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</si>
  <si>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</si>
  <si>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</si>
  <si>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</si>
  <si>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</si>
  <si>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</si>
  <si>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</si>
  <si>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</si>
  <si>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</si>
  <si>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</si>
  <si>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</si>
  <si>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</si>
  <si>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</si>
  <si>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</si>
  <si>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</si>
  <si>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</si>
  <si>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</si>
  <si>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</si>
  <si>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</si>
  <si>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</si>
  <si>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</si>
  <si>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</si>
  <si>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</si>
  <si>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</si>
  <si>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</si>
  <si>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</si>
  <si>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</si>
  <si>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</si>
  <si>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</si>
  <si>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</si>
  <si>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</si>
  <si>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</si>
  <si>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</si>
  <si>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</si>
  <si>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</si>
  <si>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</si>
  <si>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</si>
  <si>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</si>
  <si>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</si>
  <si>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</si>
  <si>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</si>
  <si>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</si>
  <si>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</si>
  <si>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</si>
  <si>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</si>
  <si>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</si>
  <si>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</si>
  <si>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</si>
  <si>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</si>
  <si>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</si>
  <si>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</si>
  <si>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</si>
  <si>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</si>
  <si>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</si>
  <si>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</si>
  <si>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</si>
  <si>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</si>
  <si>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</si>
  <si>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</si>
  <si>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</si>
  <si>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</si>
  <si>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</si>
  <si>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</si>
  <si>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</si>
  <si>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</si>
  <si>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</si>
  <si>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</si>
  <si>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</si>
  <si>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</si>
  <si>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</si>
  <si>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</si>
  <si>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</si>
  <si>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</si>
  <si>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</si>
  <si>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</si>
  <si>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</si>
  <si>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</si>
  <si>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</si>
  <si>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</si>
  <si>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</si>
  <si>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PR</t>
  </si>
  <si>
    <t>Notes that don't fit into dashboard cells.  This list can be updated each period.</t>
  </si>
  <si>
    <t>Comment Date</t>
  </si>
  <si>
    <t>Rptg Period</t>
  </si>
  <si>
    <t>Author</t>
  </si>
  <si>
    <t>PR or CCM</t>
  </si>
  <si>
    <t>Indic #</t>
  </si>
  <si>
    <t>Comment</t>
  </si>
  <si>
    <t>&lt;CCM Generic Dashboard_EN_fixed.xls&gt;   [received 26jan'10]</t>
  </si>
  <si>
    <t>This dashboard was customised from GF's January 2010 generic file,</t>
  </si>
  <si>
    <t>≥ 90%</t>
  </si>
  <si>
    <t>The indicators should be selected from the Performance Framework 
by the PRs and members of the CCM or the CCM Technical Committee.</t>
  </si>
  <si>
    <t>Condoms</t>
  </si>
  <si>
    <t>HIV test kits</t>
  </si>
  <si>
    <t>HIV confirmation kits</t>
  </si>
  <si>
    <t>Notes/Calc</t>
  </si>
  <si>
    <t>Conditions Precedent (CPs)</t>
  </si>
  <si>
    <t>MoH</t>
  </si>
  <si>
    <t>Accelerating Access -- Home-Based Care &amp; Indoor Residual Spraying</t>
  </si>
  <si>
    <t>(1)
Number of tablets per patient per day
(Review country treatment guidelines)</t>
  </si>
  <si>
    <t>(2)  =  (1) x 30
Monthly treatment 
(Tablets per patient x 30 days)</t>
  </si>
  <si>
    <t>(3)
Total patients in treatment</t>
  </si>
  <si>
    <t>(4)  =  (2) x (3)
Total # tab/pills required for all patients per month</t>
  </si>
  <si>
    <t>(6) =  (5) / (4)
Stock level expressed in months of treatment for all current patients</t>
  </si>
  <si>
    <t>YES</t>
  </si>
  <si>
    <t>F2: Budget and actual expenditures by category</t>
  </si>
  <si>
    <t>Category</t>
  </si>
  <si>
    <r>
      <t xml:space="preserve">Days from end of </t>
    </r>
    <r>
      <rPr>
        <u/>
        <sz val="11"/>
        <color indexed="8"/>
        <rFont val="Calibri"/>
        <family val="2"/>
      </rPr>
      <t>previous</t>
    </r>
    <r>
      <rPr>
        <sz val="11"/>
        <color theme="1"/>
        <rFont val="Calibri"/>
        <family val="2"/>
        <scheme val="minor"/>
      </rPr>
      <t xml:space="preserve"> reporting period until </t>
    </r>
    <r>
      <rPr>
        <b/>
        <u/>
        <sz val="11"/>
        <color indexed="12"/>
        <rFont val="Calibri"/>
        <family val="2"/>
      </rPr>
      <t>accepted</t>
    </r>
    <r>
      <rPr>
        <sz val="11"/>
        <color theme="1"/>
        <rFont val="Calibri"/>
        <family val="2"/>
        <scheme val="minor"/>
      </rPr>
      <t xml:space="preserve"> PU/DR was sent to LFA</t>
    </r>
  </si>
  <si>
    <t xml:space="preserve">as of </t>
  </si>
  <si>
    <t>which ends</t>
  </si>
  <si>
    <t>notes</t>
  </si>
  <si>
    <t>Check for any changes in SR status</t>
  </si>
  <si>
    <t>Malaria</t>
  </si>
  <si>
    <t xml:space="preserve">     Notes</t>
  </si>
  <si>
    <t>Pr1 - trend</t>
  </si>
  <si>
    <t>Pr2 - trend</t>
  </si>
  <si>
    <t>Pr3 - trend</t>
  </si>
  <si>
    <t>Pr1</t>
  </si>
  <si>
    <t>Pr2</t>
  </si>
  <si>
    <t>Pr3</t>
  </si>
  <si>
    <t>Pr4</t>
  </si>
  <si>
    <t>Pr5</t>
  </si>
  <si>
    <t>Pr6</t>
  </si>
  <si>
    <t>Pr7</t>
  </si>
  <si>
    <t>Pr8</t>
  </si>
  <si>
    <t>Pr9</t>
  </si>
  <si>
    <t>Pr10</t>
  </si>
  <si>
    <t>1.1</t>
  </si>
  <si>
    <t>AGAMAL LTD</t>
  </si>
  <si>
    <t xml:space="preserve">Daily spray cards, as summarized in the program data base Spray operator is the original source of information. </t>
  </si>
  <si>
    <t xml:space="preserve">Number and percentage of structures (rooms/dwellings)  in targeted districts sprayed by indoor residual spraying. These are structures (rooms/dwellings) sprayed in the course of the spray season. </t>
  </si>
  <si>
    <r>
      <t xml:space="preserve">Definition  (from M&amp;E Plan, </t>
    </r>
    <r>
      <rPr>
        <b/>
        <sz val="10"/>
        <color indexed="8"/>
        <rFont val="Calibri"/>
        <family val="2"/>
      </rPr>
      <t>Approved on 28 August, 2012</t>
    </r>
    <r>
      <rPr>
        <b/>
        <sz val="10"/>
        <color indexed="8"/>
        <rFont val="Calibri"/>
        <family val="2"/>
      </rPr>
      <t>)</t>
    </r>
  </si>
  <si>
    <t>March 30, 2013</t>
  </si>
  <si>
    <t>Frank Amoyaw</t>
  </si>
  <si>
    <t xml:space="preserve">PR  </t>
  </si>
  <si>
    <t>At the end of week 7 - March 30, the expected number of structures to be sprayed was 491,772 against a cumulative sprayed structures of 172,355 - representing 12.27 of the end of season target (Jan-June, 2013). Refer to Attached Performance tracker.
Please note that PR reports per semester basis, and this representation is intended to offer CCM management information on current performance as at the end of P7</t>
  </si>
  <si>
    <t xml:space="preserve">A total of 376 spray operators, 52 team leaders were engaged. Cumulative figure thus becomes 1137 </t>
  </si>
  <si>
    <t>September 10, 2013</t>
  </si>
  <si>
    <t>Some districts did not have the full complement of spray operators due to issues with medical surveillance results and some isolated cases of vacation of post. This led to the shortfall in the total number of persons trained.</t>
  </si>
  <si>
    <t>The minimum number of structures targeted for the period was 1,194,305 (85%) out of a total of 1,405,065 structures as stated in the PF for the period:
The inability to reach the minimum set target for the period resulted from significant delays in the insecticide clearing process at the port leading to stock-outs and hence lost operational time. This tremendously affected the weekly expected spray coverage and the consequent reduction in total coverage for the period.</t>
  </si>
  <si>
    <t xml:space="preserve">Although there were no stockouts prior to the start of  spraying, we encountered stockouts in the course of the spraying season. </t>
  </si>
  <si>
    <t>Apr - Jun 2015</t>
  </si>
  <si>
    <t>Jul - Sept 2015</t>
  </si>
  <si>
    <t>Oct - Dec 2015</t>
  </si>
  <si>
    <t>Jan - Mar 2016</t>
  </si>
  <si>
    <t>Apr - Jun 2016</t>
  </si>
  <si>
    <t>Jul - Sept 2016</t>
  </si>
  <si>
    <t>Oct - Dec 2016</t>
  </si>
  <si>
    <t xml:space="preserve">PR expenditure </t>
  </si>
  <si>
    <t>-</t>
  </si>
  <si>
    <t>l8</t>
  </si>
  <si>
    <t>AngloGold Asanti (Ghana) Malaria Ltd</t>
  </si>
  <si>
    <t>Cumulative Budget Approved*</t>
  </si>
  <si>
    <t>Mark Saalfeld</t>
  </si>
  <si>
    <t>GHA-M-AGAMAL</t>
  </si>
  <si>
    <t>Funding:</t>
  </si>
  <si>
    <t>New Funding Model</t>
  </si>
  <si>
    <t>1</t>
  </si>
  <si>
    <t>Jan - Mar 2017</t>
  </si>
  <si>
    <t>Apr - Jun 2017</t>
  </si>
  <si>
    <t>Jul - Sept 2017</t>
  </si>
  <si>
    <t>Oct - Dec 2017</t>
  </si>
  <si>
    <t>Human Resources</t>
  </si>
  <si>
    <t>Travel related costs</t>
  </si>
  <si>
    <t>External Professional services</t>
  </si>
  <si>
    <t>Health Products - Non Pharmaceuticals</t>
  </si>
  <si>
    <t>Health Products - Equipment</t>
  </si>
  <si>
    <t>Procurement and Supply-Chain Management costs</t>
  </si>
  <si>
    <t>Infrastructure</t>
  </si>
  <si>
    <t>Non-health equipment</t>
  </si>
  <si>
    <t>Communication Material and Publications</t>
  </si>
  <si>
    <t>Programme Administration costs</t>
  </si>
  <si>
    <t>Jan-Mar 2015</t>
  </si>
  <si>
    <t>Percentage of population in targeted areas sprayed with IRS in the last 12 months</t>
  </si>
  <si>
    <t xml:space="preserve">Daily spray cards, as summarized in the program data base. Spray operator is the original source of information. </t>
  </si>
  <si>
    <t>Pr2. No. and percentage of structures in targeted districts sprayed by indoor residual spraying in the last 12 months</t>
  </si>
  <si>
    <t>Pr1. Percentage of population in targeted districts sprayed by indoor residual spraying in the last 12 months</t>
  </si>
  <si>
    <t>The numerator for this indicator is obtained by counting the number of usual household residents in houses adequately sprayed. Adequacy is determined by the uniformity of spraying in the household, spraying in all rooms in the house and spraying at intervals consistent with the manufacturer’s recommendation in the target area. Denominator information is the projections from 2010 Population census information.</t>
  </si>
  <si>
    <t>PS= # of individual living in houses that were sprayed with a residual insecticide during an IRS campaign in the last 12 months 
PM= #Population at risk for malaria
Population Coverage =PS/PM*100</t>
  </si>
  <si>
    <t>Number of structures sprayed in targeted areas with IRS in the last 12 months</t>
  </si>
  <si>
    <t xml:space="preserve">F= # sprayable structures Targeted
S= # sprayable structures sprayed
IRS Coverage (c) = S/F* 100
</t>
  </si>
  <si>
    <t>Ignatius Williams</t>
  </si>
  <si>
    <t>As per the 2015-2016 period, only one indicator i.e. the population covered in targetd areas is required. However the CCM has requested that the dashboard be populated with the number of structures sprayed for the purpose of this reporting period. Again, the last spraying for the year was done from April to June, 2015 and data already reported to CCM.</t>
  </si>
  <si>
    <t xml:space="preserve">The last spraying for the year was done from April to June, 2015 and data already reported to CCM. Spraying was not done for the current reporting period under review; hence the entries for Target and Achieved are zero  </t>
  </si>
  <si>
    <t xml:space="preserve">AGAMAL's budget for t he period under review was $521,840 and had received its total annual disbursement in prior period. AGAMAL therefore did not receive any funds in the period under review. 
</t>
  </si>
  <si>
    <t>No population coverage for the period under review as there was no spraying done between October to December, 2015. AGAMaL is currently spraying with a long lasting insecticide (Actelic 300CS) with residual efficacy of about 9 months. Thus only one round of spraying would be done each spray year.</t>
  </si>
  <si>
    <t>Out of a budget of $133,279  $5,148,057 was spent on health products and equipment. The deficit is as a result of a roll over cost prior to the New Funding Model. Its associated budget in 2014 was not fully utilised because of delays in procuring them due to Global Fund's request for Quality Assurance Testing and the general change in spray plan.</t>
  </si>
  <si>
    <t>AGAMAL received its annual budget disbursement in prior period and therefore did not receive any funding during the period under review. However, AGAMAL's total expenditure for the period October to December,2015 was $757,624.46.The excess expenditure over disbursement received was as a result of timing differences between budget and actual payment.</t>
  </si>
  <si>
    <t>Generally, there is a positive variance in all the cost categories except Health Products, Procurement and Supply Chain Management &amp; Programme Administration.The positive variance is as a result of the timing of the start of the NFM. The budget was made to cover 12 months however NFM implementation covered 10 months ie March to December 2015. The negative variance on Health Products &amp; Equipment is as a result of insecticides procured and paid for which includes quantities meant to be used for 2016 operations rolled over from the old grant. Port clearing and handling charges on the insecticides were not budgeted for in the period under review which resulted in the negative variance on the Procurement and Supply Chain Management cost category. Finally, rent for Wa Zonal/District office was paid in advance in December 2015 instead of January 2016 as provided for in the budget. Hence the negative variance on the Programme Administration cost category.</t>
  </si>
  <si>
    <t>% of budget</t>
  </si>
  <si>
    <t>P4:</t>
  </si>
  <si>
    <t xml:space="preserve">Q3 burn rate </t>
  </si>
  <si>
    <t xml:space="preserve">Q4 burn rate </t>
  </si>
  <si>
    <t>Clearance cost for insecticide 5m that was not budgeted for (was budgeted in 2014)</t>
  </si>
  <si>
    <t xml:space="preserve">Obligations </t>
  </si>
  <si>
    <t xml:space="preserve">Commitment: 850,604 USD (50% for insecticides + 285,000 for parasite prevalence study)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</si>
</sst>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8" formatCode="&quot;$&quot;#,##0.00_);[Red]\(&quot;$&quot;#,##0.00\)"/>
    <numFmt numFmtId="43" formatCode="_(* #,##0.00_);_(* \(#,##0.00\);_(* &quot;-&quot;??_);_(@_)"/>
    <numFmt numFmtId="164" formatCode="&quot;Q&quot;#,##0_);[Red]\(&quot;Q&quot;#,##0\)"/>
    <numFmt numFmtId="165" formatCode="_(&quot;Q&quot;* #,##0.00_);_(&quot;Q&quot;* \(#,##0.00\);_(&quot;Q&quot;* &quot;-&quot;??_);_(@_)"/>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quot;$&quot;#,##0"/>
    <numFmt numFmtId="175" formatCode="[$$-409]#,##0.00"/>
    <numFmt numFmtId="176" formatCode="_-* #,##0_-;\-* #,##0_-;_-* &quot;-&quot;??_-;_-@_-"/>
  </numFmts>
  <fonts count="144">
    <font>
      <sz val="11"/>
      <color theme="1"/>
      <name val="Calibri"/>
      <family val="2"/>
      <scheme val="minor"/>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i/>
      <sz val="11"/>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Calibri"/>
      <family val="2"/>
    </font>
    <font>
      <sz val="11"/>
      <color indexed="8"/>
      <name val="Calibri"/>
      <family val="2"/>
    </font>
    <font>
      <b/>
      <u/>
      <sz val="11"/>
      <color indexed="12"/>
      <name val="Calibri"/>
      <family val="2"/>
    </font>
    <font>
      <sz val="10"/>
      <color indexed="9"/>
      <name val="Calibri"/>
      <family val="2"/>
    </font>
    <font>
      <sz val="9"/>
      <color indexed="8"/>
      <name val="Calibri"/>
      <family val="2"/>
    </font>
    <font>
      <i/>
      <sz val="11"/>
      <color indexed="48"/>
      <name val="Calibri"/>
      <family val="2"/>
    </font>
    <font>
      <b/>
      <i/>
      <sz val="11"/>
      <color indexed="14"/>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u/>
      <sz val="10"/>
      <color indexed="12"/>
      <name val="Arial"/>
      <family val="2"/>
    </font>
    <font>
      <b/>
      <sz val="11"/>
      <color theme="1"/>
      <name val="Calibri"/>
      <family val="2"/>
      <scheme val="minor"/>
    </font>
    <font>
      <i/>
      <sz val="11"/>
      <color theme="1"/>
      <name val="Calibri"/>
      <family val="2"/>
      <scheme val="minor"/>
    </font>
    <font>
      <i/>
      <sz val="11"/>
      <color indexed="16"/>
      <name val="Calibri"/>
      <family val="2"/>
    </font>
    <font>
      <i/>
      <sz val="11"/>
      <color indexed="60"/>
      <name val="Calibri"/>
      <family val="2"/>
    </font>
    <font>
      <i/>
      <sz val="11"/>
      <color indexed="9"/>
      <name val="Calibri"/>
      <family val="2"/>
    </font>
  </fonts>
  <fills count="4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6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3"/>
      </patternFill>
    </fill>
    <fill>
      <patternFill patternType="mediumGray">
        <fgColor indexed="9"/>
        <bgColor indexed="44"/>
      </patternFill>
    </fill>
    <fill>
      <patternFill patternType="mediumGray">
        <fgColor indexed="9"/>
        <bgColor indexed="47"/>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thick">
        <color indexed="9"/>
      </right>
      <top/>
      <bottom/>
      <diagonal/>
    </border>
    <border>
      <left style="hair">
        <color auto="1"/>
      </left>
      <right style="hair">
        <color auto="1"/>
      </right>
      <top/>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51"/>
      </right>
      <top style="thin">
        <color auto="1"/>
      </top>
      <bottom style="thin">
        <color auto="1"/>
      </bottom>
      <diagonal/>
    </border>
    <border>
      <left style="thin">
        <color auto="1"/>
      </left>
      <right style="thin">
        <color auto="1"/>
      </right>
      <top style="thin">
        <color auto="1"/>
      </top>
      <bottom style="medium">
        <color indexed="5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thin">
        <color indexed="30"/>
      </top>
      <bottom style="thin">
        <color indexed="30"/>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thin">
        <color auto="1"/>
      </right>
      <top style="thin">
        <color auto="1"/>
      </top>
      <bottom style="medium">
        <color indexed="60"/>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6"/>
      </left>
      <right style="thin">
        <color indexed="16"/>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51"/>
      </left>
      <right style="thin">
        <color auto="1"/>
      </right>
      <top style="thin">
        <color auto="1"/>
      </top>
      <bottom style="thin">
        <color auto="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indexed="51"/>
      </left>
      <right style="medium">
        <color indexed="5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right style="thin">
        <color auto="1"/>
      </right>
      <top style="thin">
        <color auto="1"/>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style="medium">
        <color indexed="57"/>
      </left>
      <right style="hair">
        <color indexed="57"/>
      </right>
      <top style="medium">
        <color indexed="57"/>
      </top>
      <bottom style="medium">
        <color indexed="57"/>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hair">
        <color indexed="57"/>
      </left>
      <right style="medium">
        <color indexed="57"/>
      </right>
      <top style="medium">
        <color indexed="57"/>
      </top>
      <bottom style="medium">
        <color indexed="57"/>
      </bottom>
      <diagonal/>
    </border>
    <border>
      <left style="hair">
        <color auto="1"/>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medium">
        <color indexed="60"/>
      </left>
      <right style="thin">
        <color indexed="60"/>
      </right>
      <top/>
      <bottom/>
      <diagonal/>
    </border>
  </borders>
  <cellStyleXfs count="12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43" fontId="3" fillId="0" borderId="0" applyFill="0" applyBorder="0" applyAlignment="0" applyProtection="0"/>
    <xf numFmtId="43" fontId="1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xf numFmtId="43" fontId="2" fillId="0" borderId="0"/>
    <xf numFmtId="43" fontId="134" fillId="0" borderId="0"/>
    <xf numFmtId="43" fontId="134" fillId="0" borderId="0"/>
    <xf numFmtId="43" fontId="134" fillId="0" borderId="0"/>
    <xf numFmtId="43" fontId="134" fillId="0" borderId="0"/>
    <xf numFmtId="0" fontId="68" fillId="0" borderId="0"/>
    <xf numFmtId="0" fontId="3" fillId="4" borderId="7" applyNumberFormat="0" applyFont="0" applyAlignment="0" applyProtection="0"/>
    <xf numFmtId="0" fontId="9" fillId="2" borderId="8" applyNumberFormat="0" applyAlignment="0" applyProtection="0"/>
    <xf numFmtId="9" fontId="4" fillId="0" borderId="0" applyFont="0" applyFill="0" applyBorder="0" applyAlignment="0" applyProtection="0"/>
    <xf numFmtId="0" fontId="43" fillId="0" borderId="0" applyNumberFormat="0" applyFill="0" applyBorder="0" applyAlignment="0" applyProtection="0"/>
    <xf numFmtId="43" fontId="134" fillId="0" borderId="9" applyNumberFormat="0" applyFill="0" applyAlignment="0" applyProtection="0"/>
    <xf numFmtId="43" fontId="2" fillId="0" borderId="9" applyNumberFormat="0" applyFill="0" applyAlignment="0" applyProtection="0"/>
    <xf numFmtId="43" fontId="2" fillId="0" borderId="9" applyNumberFormat="0" applyFill="0" applyAlignment="0" applyProtection="0"/>
    <xf numFmtId="43" fontId="134" fillId="0" borderId="9" applyNumberFormat="0" applyFill="0" applyAlignment="0" applyProtection="0"/>
    <xf numFmtId="0" fontId="77"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43" fontId="134"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0" fontId="3" fillId="4" borderId="7" applyNumberFormat="0" applyFont="0" applyAlignment="0" applyProtection="0"/>
    <xf numFmtId="0" fontId="9" fillId="2" borderId="8" applyNumberFormat="0" applyAlignment="0" applyProtection="0"/>
    <xf numFmtId="9" fontId="1" fillId="0" borderId="0" applyFont="0" applyFill="0" applyBorder="0" applyAlignment="0" applyProtection="0"/>
    <xf numFmtId="0" fontId="43" fillId="0" borderId="0" applyNumberFormat="0" applyFill="0" applyBorder="0" applyAlignment="0" applyProtection="0"/>
    <xf numFmtId="0" fontId="77" fillId="0" borderId="0" applyNumberFormat="0" applyFill="0" applyBorder="0" applyAlignment="0" applyProtection="0"/>
    <xf numFmtId="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4" fillId="0" borderId="0" applyFont="0" applyFill="0" applyBorder="0" applyAlignment="0" applyProtection="0"/>
    <xf numFmtId="175" fontId="3" fillId="0" borderId="0" applyFont="0" applyFill="0" applyBorder="0" applyAlignment="0" applyProtection="0"/>
    <xf numFmtId="43" fontId="134" fillId="0" borderId="0" applyFont="0" applyFill="0" applyBorder="0" applyAlignment="0" applyProtection="0"/>
    <xf numFmtId="0" fontId="3" fillId="0" borderId="0"/>
    <xf numFmtId="0" fontId="134" fillId="0" borderId="0"/>
    <xf numFmtId="0" fontId="134" fillId="0" borderId="0"/>
    <xf numFmtId="0" fontId="134" fillId="0" borderId="0"/>
    <xf numFmtId="0" fontId="134" fillId="0" borderId="0"/>
    <xf numFmtId="9" fontId="3" fillId="0" borderId="0" applyFont="0" applyFill="0" applyBorder="0" applyAlignment="0" applyProtection="0"/>
    <xf numFmtId="9" fontId="134" fillId="0" borderId="0" applyFont="0" applyFill="0" applyBorder="0" applyAlignment="0" applyProtection="0"/>
    <xf numFmtId="0" fontId="138" fillId="0" borderId="0" applyNumberFormat="0" applyFill="0" applyBorder="0" applyAlignment="0" applyProtection="0">
      <alignment vertical="top"/>
      <protection locked="0"/>
    </xf>
    <xf numFmtId="43" fontId="134" fillId="0" borderId="0" applyFont="0" applyFill="0" applyBorder="0" applyAlignment="0" applyProtection="0"/>
    <xf numFmtId="43" fontId="134" fillId="0" borderId="0" applyFont="0" applyFill="0" applyBorder="0" applyAlignment="0" applyProtection="0"/>
  </cellStyleXfs>
  <cellXfs count="962">
    <xf numFmtId="0" fontId="0" fillId="0" borderId="0" xfId="0"/>
    <xf numFmtId="43" fontId="17" fillId="0" borderId="0" xfId="40" applyFont="1" applyFill="1" applyAlignment="1">
      <alignment vertical="center"/>
    </xf>
    <xf numFmtId="0" fontId="0" fillId="0" borderId="0" xfId="0" applyBorder="1" applyProtection="1"/>
    <xf numFmtId="0" fontId="0" fillId="0" borderId="0" xfId="0" applyProtection="1"/>
    <xf numFmtId="43" fontId="23" fillId="0" borderId="0" xfId="40" applyFont="1" applyFill="1" applyAlignment="1" applyProtection="1">
      <alignment vertical="center"/>
    </xf>
    <xf numFmtId="0" fontId="22" fillId="0" borderId="0" xfId="0" applyFont="1" applyProtection="1"/>
    <xf numFmtId="43" fontId="20" fillId="0" borderId="0" xfId="51" applyFont="1" applyFill="1" applyAlignment="1" applyProtection="1"/>
    <xf numFmtId="43" fontId="20" fillId="0" borderId="0" xfId="51" applyFont="1" applyFill="1" applyAlignment="1" applyProtection="1">
      <alignment horizontal="center"/>
    </xf>
    <xf numFmtId="43" fontId="20" fillId="0" borderId="0" xfId="51" applyFont="1" applyFill="1" applyAlignment="1" applyProtection="1">
      <alignment horizontal="right"/>
    </xf>
    <xf numFmtId="43" fontId="20" fillId="0" borderId="0" xfId="51" applyFont="1" applyFill="1" applyBorder="1" applyAlignment="1" applyProtection="1">
      <alignment horizontal="center"/>
    </xf>
    <xf numFmtId="43" fontId="134" fillId="0" borderId="0" xfId="50" applyProtection="1"/>
    <xf numFmtId="43" fontId="16" fillId="0" borderId="0" xfId="50" applyFont="1" applyProtection="1"/>
    <xf numFmtId="0" fontId="19" fillId="0" borderId="0" xfId="50" applyNumberFormat="1" applyFont="1" applyBorder="1" applyProtection="1"/>
    <xf numFmtId="43" fontId="134" fillId="0" borderId="0" xfId="52" applyProtection="1"/>
    <xf numFmtId="43" fontId="134" fillId="0" borderId="0" xfId="52" applyFill="1" applyBorder="1" applyAlignment="1" applyProtection="1">
      <alignment horizontal="left"/>
    </xf>
    <xf numFmtId="0" fontId="0" fillId="0" borderId="0" xfId="0" applyFill="1" applyBorder="1" applyProtection="1"/>
    <xf numFmtId="43" fontId="134" fillId="0" borderId="0" xfId="52" applyFill="1" applyBorder="1" applyProtection="1"/>
    <xf numFmtId="0" fontId="16" fillId="0" borderId="0" xfId="0" applyFont="1" applyProtection="1"/>
    <xf numFmtId="43" fontId="16" fillId="0" borderId="0" xfId="52" applyFont="1" applyProtection="1"/>
    <xf numFmtId="0" fontId="0" fillId="0" borderId="0" xfId="0" applyBorder="1"/>
    <xf numFmtId="0" fontId="0" fillId="0" borderId="0" xfId="0" applyFill="1" applyBorder="1"/>
    <xf numFmtId="0" fontId="35" fillId="0" borderId="0" xfId="0" applyFont="1"/>
    <xf numFmtId="15" fontId="30" fillId="0" borderId="0" xfId="0" applyNumberFormat="1" applyFont="1" applyFill="1" applyBorder="1" applyAlignment="1" applyProtection="1">
      <alignment horizontal="center" vertical="center" wrapText="1"/>
      <protection locked="0"/>
    </xf>
    <xf numFmtId="43" fontId="29" fillId="0" borderId="0" xfId="0" applyNumberFormat="1" applyFont="1"/>
    <xf numFmtId="43" fontId="29" fillId="0" borderId="0" xfId="0" applyNumberFormat="1" applyFont="1" applyAlignment="1">
      <alignment horizontal="right"/>
    </xf>
    <xf numFmtId="166" fontId="29" fillId="0" borderId="0" xfId="28" applyNumberFormat="1" applyFont="1" applyAlignment="1">
      <alignment horizontal="left"/>
    </xf>
    <xf numFmtId="43" fontId="17" fillId="0" borderId="0" xfId="49" applyFont="1" applyFill="1" applyAlignment="1">
      <alignment vertical="center"/>
    </xf>
    <xf numFmtId="0" fontId="0" fillId="0" borderId="10" xfId="0" applyBorder="1" applyAlignment="1">
      <alignment horizontal="center"/>
    </xf>
    <xf numFmtId="0" fontId="15" fillId="0" borderId="0" xfId="0" applyFont="1" applyBorder="1" applyAlignment="1">
      <alignment horizontal="center"/>
    </xf>
    <xf numFmtId="0" fontId="2" fillId="0" borderId="0" xfId="0" applyFont="1" applyBorder="1" applyAlignment="1"/>
    <xf numFmtId="0" fontId="2" fillId="0" borderId="0" xfId="0" applyFont="1" applyFill="1" applyBorder="1" applyAlignment="1"/>
    <xf numFmtId="0" fontId="44" fillId="0" borderId="0" xfId="0" applyFont="1"/>
    <xf numFmtId="0" fontId="44" fillId="0" borderId="0" xfId="0" applyFont="1" applyAlignment="1">
      <alignment horizontal="right"/>
    </xf>
    <xf numFmtId="0" fontId="44" fillId="0" borderId="0" xfId="0" applyFont="1" applyBorder="1"/>
    <xf numFmtId="0" fontId="47" fillId="0" borderId="0" xfId="0" applyFont="1"/>
    <xf numFmtId="0" fontId="44" fillId="0" borderId="0" xfId="0" applyNumberFormat="1" applyFont="1" applyBorder="1"/>
    <xf numFmtId="0" fontId="0" fillId="0" borderId="0" xfId="0" applyFill="1"/>
    <xf numFmtId="10" fontId="7" fillId="0" borderId="0" xfId="57" applyNumberFormat="1" applyFont="1" applyFill="1" applyBorder="1" applyAlignment="1">
      <alignment horizontal="center"/>
    </xf>
    <xf numFmtId="10" fontId="7" fillId="0" borderId="0" xfId="57" applyNumberFormat="1" applyFont="1" applyFill="1" applyBorder="1" applyAlignment="1" applyProtection="1">
      <alignment horizontal="center"/>
      <protection locked="0"/>
    </xf>
    <xf numFmtId="43" fontId="29" fillId="0" borderId="0" xfId="0" applyNumberFormat="1" applyFont="1" applyFill="1" applyBorder="1" applyAlignment="1"/>
    <xf numFmtId="43" fontId="134" fillId="0" borderId="0" xfId="62" applyFill="1" applyBorder="1" applyAlignment="1" applyProtection="1">
      <alignment vertical="center"/>
      <protection locked="0"/>
    </xf>
    <xf numFmtId="164" fontId="33" fillId="0" borderId="0" xfId="0" applyNumberFormat="1" applyFont="1" applyFill="1" applyBorder="1" applyAlignment="1">
      <alignment horizontal="center"/>
    </xf>
    <xf numFmtId="0" fontId="27" fillId="0" borderId="0" xfId="0" applyFont="1" applyFill="1" applyBorder="1" applyAlignment="1">
      <alignment horizontal="centerContinuous"/>
    </xf>
    <xf numFmtId="0" fontId="0" fillId="0" borderId="0" xfId="0" applyFill="1" applyBorder="1" applyAlignment="1">
      <alignment horizontal="centerContinuous"/>
    </xf>
    <xf numFmtId="43" fontId="40" fillId="0" borderId="0" xfId="62"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4" fillId="0" borderId="0" xfId="59" applyNumberFormat="1" applyFill="1" applyBorder="1" applyAlignment="1" applyProtection="1">
      <alignment horizontal="center"/>
      <protection locked="0"/>
    </xf>
    <xf numFmtId="0" fontId="16" fillId="0" borderId="0" xfId="0" applyFont="1" applyFill="1" applyBorder="1" applyAlignment="1" applyProtection="1">
      <alignment horizontal="center"/>
    </xf>
    <xf numFmtId="0" fontId="24" fillId="0" borderId="0" xfId="0" applyFont="1" applyFill="1" applyAlignment="1" applyProtection="1"/>
    <xf numFmtId="0" fontId="16" fillId="0" borderId="0" xfId="0" applyFont="1" applyAlignment="1" applyProtection="1">
      <alignment horizontal="left" indent="1"/>
    </xf>
    <xf numFmtId="0" fontId="19" fillId="0" borderId="0" xfId="0" applyFont="1" applyAlignment="1" applyProtection="1">
      <alignment horizontal="left" indent="1"/>
    </xf>
    <xf numFmtId="0" fontId="16" fillId="0" borderId="0" xfId="0" applyFont="1" applyFill="1" applyBorder="1" applyProtection="1"/>
    <xf numFmtId="43" fontId="70" fillId="0" borderId="0" xfId="50" applyFont="1" applyProtection="1"/>
    <xf numFmtId="43" fontId="70" fillId="0" borderId="0" xfId="52" applyFont="1" applyProtection="1"/>
    <xf numFmtId="0" fontId="70" fillId="0" borderId="10" xfId="0" applyFont="1" applyFill="1" applyBorder="1" applyAlignment="1" applyProtection="1">
      <alignment horizontal="center"/>
    </xf>
    <xf numFmtId="0" fontId="70" fillId="0" borderId="10" xfId="0" applyFont="1" applyFill="1" applyBorder="1" applyProtection="1"/>
    <xf numFmtId="43" fontId="70" fillId="0" borderId="10" xfId="52" applyFont="1" applyBorder="1" applyProtection="1"/>
    <xf numFmtId="0" fontId="71" fillId="0" borderId="10" xfId="0" applyFont="1" applyBorder="1" applyAlignment="1" applyProtection="1">
      <alignment horizontal="left" indent="1"/>
    </xf>
    <xf numFmtId="0" fontId="72" fillId="0" borderId="10" xfId="0" applyFont="1" applyBorder="1"/>
    <xf numFmtId="0" fontId="73" fillId="19" borderId="10" xfId="0" applyFont="1" applyFill="1" applyBorder="1" applyAlignment="1" applyProtection="1">
      <alignment horizontal="center"/>
    </xf>
    <xf numFmtId="0" fontId="73" fillId="19" borderId="10" xfId="0" applyFont="1" applyFill="1" applyBorder="1" applyAlignment="1">
      <alignment horizontal="center"/>
    </xf>
    <xf numFmtId="0" fontId="22" fillId="0" borderId="0" xfId="0" applyFont="1"/>
    <xf numFmtId="3" fontId="16" fillId="20" borderId="11" xfId="0" applyNumberFormat="1" applyFont="1" applyFill="1" applyBorder="1" applyAlignment="1">
      <alignment horizontal="right"/>
    </xf>
    <xf numFmtId="3" fontId="16" fillId="20" borderId="11" xfId="28" applyNumberFormat="1" applyFont="1" applyFill="1" applyBorder="1"/>
    <xf numFmtId="9" fontId="16" fillId="20" borderId="11" xfId="57" applyFont="1" applyFill="1" applyBorder="1"/>
    <xf numFmtId="9" fontId="16" fillId="20" borderId="11" xfId="57" applyNumberFormat="1" applyFont="1" applyFill="1" applyBorder="1"/>
    <xf numFmtId="0" fontId="16" fillId="20" borderId="11" xfId="0" applyFont="1" applyFill="1" applyBorder="1"/>
    <xf numFmtId="9" fontId="16" fillId="20" borderId="11" xfId="57" applyFont="1" applyFill="1" applyBorder="1" applyAlignment="1">
      <alignment horizontal="center"/>
    </xf>
    <xf numFmtId="0" fontId="16" fillId="0" borderId="0" xfId="0" applyFont="1"/>
    <xf numFmtId="0" fontId="34" fillId="0" borderId="0" xfId="0" applyFont="1" applyAlignment="1">
      <alignment horizontal="center"/>
    </xf>
    <xf numFmtId="43" fontId="62" fillId="0" borderId="0" xfId="49" applyFont="1" applyFill="1" applyAlignment="1">
      <alignment vertical="center"/>
    </xf>
    <xf numFmtId="0" fontId="15" fillId="0" borderId="0" xfId="0" applyFont="1"/>
    <xf numFmtId="0" fontId="47" fillId="0" borderId="0" xfId="0" applyFont="1" applyFill="1"/>
    <xf numFmtId="0" fontId="80" fillId="19" borderId="12" xfId="0" applyFont="1" applyFill="1" applyBorder="1" applyAlignment="1">
      <alignment vertical="center"/>
    </xf>
    <xf numFmtId="0" fontId="78" fillId="0" borderId="0" xfId="54" applyNumberFormat="1" applyFont="1" applyFill="1" applyBorder="1" applyAlignment="1">
      <alignment horizontal="center" vertical="center" wrapText="1"/>
    </xf>
    <xf numFmtId="0" fontId="78" fillId="21" borderId="13" xfId="54"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2" fillId="0" borderId="0" xfId="0" applyNumberFormat="1" applyFont="1" applyFill="1" applyBorder="1" applyAlignment="1">
      <alignment horizontal="center"/>
    </xf>
    <xf numFmtId="1" fontId="83" fillId="20" borderId="0" xfId="0" applyNumberFormat="1" applyFont="1" applyFill="1" applyBorder="1" applyAlignment="1">
      <alignment horizontal="center"/>
    </xf>
    <xf numFmtId="0" fontId="83" fillId="0" borderId="0" xfId="0" applyFont="1" applyFill="1" applyBorder="1" applyAlignment="1" applyProtection="1">
      <alignment horizontal="left"/>
    </xf>
    <xf numFmtId="0" fontId="84" fillId="0" borderId="0" xfId="0" applyFont="1"/>
    <xf numFmtId="43" fontId="40" fillId="0" borderId="0" xfId="62"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2" fillId="0" borderId="14" xfId="62" applyFont="1" applyBorder="1" applyAlignment="1" applyProtection="1"/>
    <xf numFmtId="43" fontId="134" fillId="0" borderId="14" xfId="62" applyFill="1" applyBorder="1" applyAlignment="1" applyProtection="1">
      <alignment vertical="center"/>
    </xf>
    <xf numFmtId="43" fontId="4" fillId="0" borderId="14" xfId="62" applyFont="1" applyFill="1" applyBorder="1" applyAlignment="1" applyProtection="1">
      <alignment vertical="center"/>
    </xf>
    <xf numFmtId="43" fontId="32" fillId="0" borderId="0" xfId="62" applyFont="1" applyBorder="1" applyAlignment="1" applyProtection="1"/>
    <xf numFmtId="43" fontId="134" fillId="0" borderId="0" xfId="62" applyFill="1" applyBorder="1" applyAlignment="1" applyProtection="1">
      <alignment vertical="center"/>
    </xf>
    <xf numFmtId="43" fontId="4" fillId="0" borderId="0" xfId="62" applyFont="1" applyFill="1" applyBorder="1" applyAlignment="1" applyProtection="1">
      <alignment vertical="center"/>
    </xf>
    <xf numFmtId="0" fontId="33" fillId="0" borderId="15" xfId="0" applyFont="1" applyBorder="1" applyAlignment="1" applyProtection="1">
      <alignment horizontal="center"/>
    </xf>
    <xf numFmtId="15" fontId="33" fillId="0" borderId="16" xfId="0" applyNumberFormat="1" applyFont="1" applyBorder="1" applyAlignment="1" applyProtection="1">
      <alignment horizontal="center"/>
    </xf>
    <xf numFmtId="0" fontId="33" fillId="0" borderId="17" xfId="0" applyFont="1" applyBorder="1" applyAlignment="1" applyProtection="1">
      <alignment horizontal="center"/>
    </xf>
    <xf numFmtId="166" fontId="16" fillId="0" borderId="0" xfId="0" applyNumberFormat="1" applyFont="1" applyFill="1" applyBorder="1" applyAlignment="1" applyProtection="1"/>
    <xf numFmtId="10" fontId="7" fillId="0" borderId="0" xfId="57" applyNumberFormat="1" applyFont="1" applyFill="1" applyBorder="1" applyAlignment="1" applyProtection="1">
      <alignment horizontal="center"/>
    </xf>
    <xf numFmtId="0" fontId="7" fillId="0" borderId="0" xfId="0" applyFont="1" applyFill="1" applyBorder="1" applyAlignment="1" applyProtection="1"/>
    <xf numFmtId="0" fontId="27" fillId="0" borderId="0" xfId="0" applyFont="1" applyFill="1" applyBorder="1" applyAlignment="1" applyProtection="1">
      <alignment horizontal="centerContinuous" wrapText="1"/>
    </xf>
    <xf numFmtId="0" fontId="27"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7" fillId="0" borderId="18" xfId="0" applyNumberFormat="1" applyFont="1" applyFill="1" applyBorder="1" applyAlignment="1" applyProtection="1"/>
    <xf numFmtId="0" fontId="27" fillId="0" borderId="18" xfId="0" applyFont="1" applyFill="1" applyBorder="1" applyProtection="1"/>
    <xf numFmtId="0" fontId="27" fillId="0" borderId="19" xfId="0" applyFont="1" applyFill="1" applyBorder="1" applyProtection="1"/>
    <xf numFmtId="43" fontId="39" fillId="0" borderId="20" xfId="62" applyFont="1" applyBorder="1" applyAlignment="1" applyProtection="1"/>
    <xf numFmtId="43" fontId="40" fillId="0" borderId="20" xfId="62" applyFont="1" applyFill="1" applyBorder="1" applyAlignment="1" applyProtection="1">
      <alignment vertical="center"/>
    </xf>
    <xf numFmtId="43" fontId="40" fillId="0" borderId="20" xfId="62" applyFont="1" applyFill="1" applyBorder="1" applyAlignment="1" applyProtection="1">
      <alignment horizontal="center" vertical="center"/>
    </xf>
    <xf numFmtId="43" fontId="40" fillId="0" borderId="0" xfId="62" applyFont="1" applyFill="1" applyBorder="1" applyAlignment="1" applyProtection="1">
      <alignment vertical="center"/>
    </xf>
    <xf numFmtId="43" fontId="39" fillId="0" borderId="0" xfId="62" applyFont="1" applyBorder="1" applyAlignment="1" applyProtection="1"/>
    <xf numFmtId="43" fontId="41" fillId="0" borderId="0" xfId="62" applyFont="1" applyFill="1" applyBorder="1" applyAlignment="1" applyProtection="1">
      <alignment vertical="center"/>
    </xf>
    <xf numFmtId="0" fontId="15" fillId="0" borderId="0" xfId="0" applyFont="1" applyBorder="1" applyAlignment="1" applyProtection="1">
      <alignment horizontal="center"/>
    </xf>
    <xf numFmtId="0" fontId="0" fillId="0" borderId="21" xfId="0" applyBorder="1" applyAlignment="1" applyProtection="1">
      <alignment horizontal="center"/>
    </xf>
    <xf numFmtId="0" fontId="15" fillId="0" borderId="21" xfId="0" applyFont="1" applyBorder="1" applyAlignment="1" applyProtection="1">
      <alignment horizontal="center"/>
    </xf>
    <xf numFmtId="0" fontId="15" fillId="0" borderId="21" xfId="0" applyFont="1" applyBorder="1" applyAlignment="1" applyProtection="1">
      <alignment horizontal="center" wrapText="1"/>
    </xf>
    <xf numFmtId="0" fontId="15" fillId="0" borderId="22" xfId="0" applyFont="1" applyBorder="1" applyAlignment="1" applyProtection="1">
      <alignment horizontal="center"/>
    </xf>
    <xf numFmtId="0" fontId="15" fillId="0" borderId="23" xfId="0" applyFont="1" applyBorder="1" applyAlignment="1" applyProtection="1">
      <alignment horizontal="center"/>
    </xf>
    <xf numFmtId="1" fontId="22" fillId="20" borderId="24" xfId="0" applyNumberFormat="1" applyFont="1" applyFill="1" applyBorder="1" applyAlignment="1" applyProtection="1">
      <alignment horizontal="center"/>
    </xf>
    <xf numFmtId="0" fontId="15" fillId="0" borderId="25" xfId="0" applyFont="1" applyBorder="1" applyAlignment="1" applyProtection="1">
      <alignment horizontal="center"/>
    </xf>
    <xf numFmtId="1" fontId="22"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3" fillId="0" borderId="21" xfId="0" applyFont="1" applyBorder="1" applyAlignment="1" applyProtection="1">
      <alignment horizontal="center"/>
    </xf>
    <xf numFmtId="0" fontId="33" fillId="0" borderId="22" xfId="0" applyFont="1" applyBorder="1" applyAlignment="1" applyProtection="1">
      <alignment horizontal="center"/>
    </xf>
    <xf numFmtId="0" fontId="0" fillId="0" borderId="0" xfId="0" applyFill="1" applyBorder="1" applyAlignment="1" applyProtection="1">
      <alignment horizontal="center" wrapText="1"/>
    </xf>
    <xf numFmtId="43" fontId="95" fillId="0" borderId="0" xfId="28" applyFont="1" applyFill="1" applyBorder="1" applyProtection="1"/>
    <xf numFmtId="43" fontId="0" fillId="0" borderId="0" xfId="0" applyNumberFormat="1" applyFill="1" applyBorder="1" applyProtection="1"/>
    <xf numFmtId="43" fontId="69" fillId="0" borderId="28" xfId="62" applyFont="1" applyFill="1" applyBorder="1" applyAlignment="1" applyProtection="1"/>
    <xf numFmtId="43" fontId="40" fillId="0" borderId="28" xfId="62" applyFont="1" applyFill="1" applyBorder="1" applyAlignment="1" applyProtection="1">
      <alignment vertical="center"/>
    </xf>
    <xf numFmtId="0" fontId="68" fillId="0" borderId="29" xfId="0" applyFont="1" applyFill="1" applyBorder="1" applyProtection="1"/>
    <xf numFmtId="0" fontId="68" fillId="0" borderId="30" xfId="0" applyFont="1" applyFill="1" applyBorder="1" applyProtection="1"/>
    <xf numFmtId="43" fontId="29" fillId="0" borderId="0" xfId="0" applyNumberFormat="1" applyFont="1" applyAlignment="1" applyProtection="1">
      <alignment horizontal="right"/>
    </xf>
    <xf numFmtId="166" fontId="29" fillId="0" borderId="0" xfId="28" applyNumberFormat="1" applyFont="1" applyAlignment="1" applyProtection="1">
      <alignment horizontal="left"/>
    </xf>
    <xf numFmtId="15" fontId="29" fillId="0" borderId="0" xfId="0" applyNumberFormat="1" applyFont="1" applyAlignment="1" applyProtection="1">
      <alignment horizontal="left"/>
    </xf>
    <xf numFmtId="15" fontId="29" fillId="0" borderId="0" xfId="0" applyNumberFormat="1" applyFont="1" applyAlignment="1" applyProtection="1">
      <alignment horizontal="right"/>
    </xf>
    <xf numFmtId="43" fontId="29" fillId="0" borderId="0" xfId="0" applyNumberFormat="1" applyFont="1" applyProtection="1"/>
    <xf numFmtId="43" fontId="29" fillId="0" borderId="0" xfId="0" applyNumberFormat="1" applyFont="1" applyBorder="1" applyProtection="1"/>
    <xf numFmtId="43" fontId="29" fillId="0" borderId="0" xfId="0" applyNumberFormat="1" applyFont="1" applyBorder="1" applyAlignment="1" applyProtection="1">
      <alignment horizontal="right"/>
    </xf>
    <xf numFmtId="166" fontId="29" fillId="0" borderId="0" xfId="28" applyNumberFormat="1" applyFont="1" applyBorder="1" applyAlignment="1" applyProtection="1">
      <alignment horizontal="left"/>
    </xf>
    <xf numFmtId="0" fontId="20" fillId="0" borderId="0" xfId="0" applyFont="1" applyBorder="1" applyAlignment="1" applyProtection="1">
      <alignment horizontal="center"/>
    </xf>
    <xf numFmtId="0" fontId="20" fillId="0" borderId="0" xfId="0" applyFont="1" applyAlignment="1" applyProtection="1">
      <alignment horizontal="center"/>
    </xf>
    <xf numFmtId="0" fontId="35" fillId="0" borderId="0" xfId="0" applyFont="1" applyBorder="1" applyProtection="1"/>
    <xf numFmtId="0" fontId="35" fillId="0" borderId="10" xfId="0" applyFont="1" applyBorder="1" applyAlignment="1" applyProtection="1">
      <alignment horizontal="center" vertical="center" wrapText="1"/>
    </xf>
    <xf numFmtId="3" fontId="29" fillId="0" borderId="10" xfId="0" applyNumberFormat="1" applyFont="1" applyBorder="1" applyAlignment="1" applyProtection="1">
      <alignment vertical="center" wrapText="1"/>
    </xf>
    <xf numFmtId="15" fontId="27" fillId="0" borderId="0" xfId="0" applyNumberFormat="1" applyFont="1" applyFill="1" applyBorder="1" applyAlignment="1" applyProtection="1"/>
    <xf numFmtId="15" fontId="27" fillId="0" borderId="0" xfId="0" applyNumberFormat="1" applyFont="1" applyFill="1" applyBorder="1" applyAlignment="1" applyProtection="1">
      <alignment horizontal="center" wrapText="1"/>
    </xf>
    <xf numFmtId="0" fontId="27" fillId="0" borderId="0" xfId="0" applyFont="1" applyFill="1" applyBorder="1" applyProtection="1"/>
    <xf numFmtId="0" fontId="0" fillId="0" borderId="0" xfId="0" applyFill="1" applyBorder="1" applyAlignment="1" applyProtection="1">
      <alignment horizontal="center"/>
    </xf>
    <xf numFmtId="0" fontId="27" fillId="0" borderId="0" xfId="0" applyFont="1" applyFill="1" applyBorder="1" applyAlignment="1" applyProtection="1"/>
    <xf numFmtId="0" fontId="0" fillId="0" borderId="22" xfId="0" applyBorder="1" applyAlignment="1" applyProtection="1">
      <alignment horizontal="center" wrapText="1"/>
    </xf>
    <xf numFmtId="0" fontId="44" fillId="0" borderId="0" xfId="0" applyFont="1" applyProtection="1"/>
    <xf numFmtId="0" fontId="44" fillId="0" borderId="0" xfId="0" applyFont="1" applyAlignment="1" applyProtection="1">
      <alignment horizontal="right"/>
    </xf>
    <xf numFmtId="0" fontId="44" fillId="0" borderId="0" xfId="0" applyFont="1" applyBorder="1" applyProtection="1"/>
    <xf numFmtId="0" fontId="46" fillId="0" borderId="0" xfId="0" applyFont="1" applyBorder="1" applyAlignment="1" applyProtection="1">
      <alignment horizontal="left" vertical="center"/>
    </xf>
    <xf numFmtId="0" fontId="46" fillId="0" borderId="0" xfId="0" applyFont="1" applyBorder="1" applyAlignment="1" applyProtection="1">
      <alignment horizontal="left"/>
    </xf>
    <xf numFmtId="167" fontId="46" fillId="0" borderId="0" xfId="0" applyNumberFormat="1" applyFont="1" applyBorder="1" applyAlignment="1" applyProtection="1">
      <alignment horizontal="left"/>
    </xf>
    <xf numFmtId="0" fontId="47" fillId="0" borderId="0" xfId="0" applyFont="1" applyProtection="1"/>
    <xf numFmtId="0" fontId="48" fillId="0" borderId="0" xfId="0" applyFont="1" applyFill="1" applyBorder="1" applyProtection="1"/>
    <xf numFmtId="0" fontId="49" fillId="0" borderId="0" xfId="0" applyFont="1" applyFill="1" applyBorder="1" applyProtection="1"/>
    <xf numFmtId="0" fontId="51" fillId="0" borderId="0" xfId="0" applyFont="1" applyFill="1" applyBorder="1" applyAlignment="1" applyProtection="1">
      <alignment horizontal="right"/>
    </xf>
    <xf numFmtId="0" fontId="52" fillId="0" borderId="0" xfId="0" applyFont="1" applyFill="1" applyBorder="1" applyAlignment="1" applyProtection="1">
      <alignment horizontal="center"/>
    </xf>
    <xf numFmtId="0" fontId="35" fillId="0" borderId="0" xfId="0" applyFont="1" applyBorder="1" applyAlignment="1" applyProtection="1">
      <alignment horizontal="center" vertical="center"/>
    </xf>
    <xf numFmtId="0" fontId="53" fillId="20" borderId="0" xfId="0" applyFont="1" applyFill="1" applyBorder="1" applyAlignment="1" applyProtection="1">
      <alignment horizontal="left" vertical="center"/>
    </xf>
    <xf numFmtId="3" fontId="58" fillId="0" borderId="0" xfId="0" applyNumberFormat="1" applyFont="1" applyFill="1" applyBorder="1" applyAlignment="1" applyProtection="1">
      <alignment horizontal="right" vertical="center"/>
    </xf>
    <xf numFmtId="0" fontId="59" fillId="20" borderId="0" xfId="0" applyFont="1" applyFill="1" applyBorder="1" applyAlignment="1" applyProtection="1">
      <alignment horizontal="left" vertical="center"/>
    </xf>
    <xf numFmtId="169" fontId="53" fillId="20" borderId="0" xfId="0" applyNumberFormat="1" applyFont="1" applyFill="1" applyBorder="1" applyAlignment="1" applyProtection="1">
      <alignment vertical="center"/>
    </xf>
    <xf numFmtId="0" fontId="54" fillId="20" borderId="0" xfId="0" applyNumberFormat="1" applyFont="1" applyFill="1" applyBorder="1" applyAlignment="1" applyProtection="1">
      <alignment horizontal="right"/>
    </xf>
    <xf numFmtId="0" fontId="64" fillId="20" borderId="0" xfId="0" applyFont="1" applyFill="1" applyBorder="1" applyAlignment="1" applyProtection="1">
      <alignment horizontal="center" vertical="center"/>
    </xf>
    <xf numFmtId="0" fontId="55" fillId="20" borderId="0" xfId="0" applyFont="1" applyFill="1" applyBorder="1" applyAlignment="1" applyProtection="1">
      <alignment horizontal="center" vertical="center"/>
    </xf>
    <xf numFmtId="168" fontId="53" fillId="20" borderId="0" xfId="57" applyNumberFormat="1" applyFont="1" applyFill="1" applyBorder="1" applyAlignment="1" applyProtection="1">
      <alignment horizontal="right"/>
    </xf>
    <xf numFmtId="9" fontId="56" fillId="20" borderId="0" xfId="0" applyNumberFormat="1" applyFont="1" applyFill="1" applyBorder="1" applyProtection="1"/>
    <xf numFmtId="0" fontId="57" fillId="20" borderId="0" xfId="0" applyFont="1" applyFill="1" applyBorder="1" applyAlignment="1" applyProtection="1">
      <alignment horizontal="center" vertical="center"/>
    </xf>
    <xf numFmtId="9" fontId="56" fillId="20" borderId="0" xfId="0" applyNumberFormat="1" applyFont="1" applyFill="1" applyBorder="1" applyAlignment="1" applyProtection="1">
      <alignment horizontal="left"/>
    </xf>
    <xf numFmtId="0" fontId="65"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0" xfId="0" applyFont="1" applyFill="1" applyBorder="1" applyAlignment="1" applyProtection="1">
      <alignment horizontal="right" vertical="center" indent="1"/>
    </xf>
    <xf numFmtId="0" fontId="54" fillId="0" borderId="31" xfId="0" applyNumberFormat="1" applyFont="1" applyFill="1" applyBorder="1" applyAlignment="1" applyProtection="1">
      <alignment horizontal="right"/>
    </xf>
    <xf numFmtId="0" fontId="54" fillId="0" borderId="32" xfId="0" applyNumberFormat="1" applyFont="1" applyFill="1" applyBorder="1" applyAlignment="1" applyProtection="1">
      <alignment horizontal="right"/>
    </xf>
    <xf numFmtId="0" fontId="54" fillId="0" borderId="33" xfId="0" applyNumberFormat="1" applyFont="1" applyFill="1" applyBorder="1" applyAlignment="1" applyProtection="1">
      <alignment horizontal="right"/>
    </xf>
    <xf numFmtId="0" fontId="63" fillId="0" borderId="0" xfId="0" applyFont="1" applyFill="1" applyBorder="1" applyAlignment="1" applyProtection="1">
      <alignment horizontal="center"/>
    </xf>
    <xf numFmtId="0" fontId="54" fillId="0" borderId="0" xfId="0" applyNumberFormat="1" applyFont="1" applyFill="1" applyBorder="1" applyAlignment="1" applyProtection="1">
      <alignment horizontal="right"/>
    </xf>
    <xf numFmtId="0" fontId="64" fillId="0" borderId="0" xfId="0" applyFont="1" applyFill="1" applyBorder="1" applyAlignment="1" applyProtection="1">
      <alignment horizontal="center" vertical="center"/>
    </xf>
    <xf numFmtId="9" fontId="67" fillId="0" borderId="0" xfId="0" applyNumberFormat="1" applyFont="1" applyFill="1" applyBorder="1" applyAlignment="1" applyProtection="1"/>
    <xf numFmtId="9" fontId="67" fillId="0" borderId="0" xfId="0" applyNumberFormat="1" applyFont="1" applyFill="1" applyBorder="1" applyAlignment="1" applyProtection="1">
      <alignment horizontal="center"/>
    </xf>
    <xf numFmtId="0" fontId="54" fillId="0" borderId="34" xfId="0" applyNumberFormat="1" applyFont="1" applyFill="1" applyBorder="1" applyAlignment="1" applyProtection="1">
      <alignment horizontal="right"/>
    </xf>
    <xf numFmtId="9" fontId="56" fillId="0" borderId="0" xfId="0" applyNumberFormat="1" applyFont="1" applyFill="1" applyBorder="1" applyProtection="1"/>
    <xf numFmtId="0" fontId="54" fillId="0" borderId="35" xfId="0" applyNumberFormat="1" applyFont="1" applyFill="1" applyBorder="1" applyAlignment="1" applyProtection="1">
      <alignment horizontal="right"/>
    </xf>
    <xf numFmtId="0" fontId="54" fillId="0" borderId="36" xfId="0" applyNumberFormat="1" applyFont="1" applyFill="1" applyBorder="1" applyAlignment="1" applyProtection="1">
      <alignment horizontal="right"/>
    </xf>
    <xf numFmtId="0" fontId="35" fillId="0" borderId="37" xfId="0" applyNumberFormat="1" applyFont="1" applyFill="1" applyBorder="1" applyAlignment="1" applyProtection="1">
      <alignment vertical="center"/>
    </xf>
    <xf numFmtId="0" fontId="35" fillId="0" borderId="38" xfId="0" applyNumberFormat="1" applyFont="1" applyFill="1" applyBorder="1" applyAlignment="1" applyProtection="1">
      <alignment vertical="center"/>
    </xf>
    <xf numFmtId="0" fontId="35" fillId="0" borderId="39" xfId="0" applyNumberFormat="1" applyFont="1" applyFill="1" applyBorder="1" applyAlignment="1" applyProtection="1">
      <alignment vertical="center"/>
    </xf>
    <xf numFmtId="0" fontId="45" fillId="0" borderId="0" xfId="0" applyFont="1" applyProtection="1"/>
    <xf numFmtId="0" fontId="66" fillId="0" borderId="0" xfId="0" applyFont="1" applyProtection="1"/>
    <xf numFmtId="0" fontId="60" fillId="0" borderId="0" xfId="0" applyFont="1" applyProtection="1"/>
    <xf numFmtId="0" fontId="74" fillId="0" borderId="0" xfId="0" applyFont="1" applyBorder="1" applyAlignment="1" applyProtection="1">
      <alignment wrapText="1"/>
    </xf>
    <xf numFmtId="0" fontId="70" fillId="0" borderId="0" xfId="0" applyFont="1" applyFill="1" applyBorder="1" applyAlignment="1" applyProtection="1"/>
    <xf numFmtId="43" fontId="16" fillId="0" borderId="0" xfId="0" applyNumberFormat="1" applyFont="1"/>
    <xf numFmtId="0" fontId="29" fillId="0" borderId="0" xfId="0" applyNumberFormat="1" applyFont="1" applyAlignment="1" applyProtection="1">
      <alignment horizontal="center"/>
    </xf>
    <xf numFmtId="0" fontId="29" fillId="0" borderId="0" xfId="0" applyFont="1" applyAlignment="1" applyProtection="1">
      <alignment horizontal="center"/>
    </xf>
    <xf numFmtId="15" fontId="29"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8" fillId="0" borderId="0" xfId="0" applyNumberFormat="1" applyFont="1" applyBorder="1" applyProtection="1"/>
    <xf numFmtId="43" fontId="38" fillId="0" borderId="0" xfId="0" applyNumberFormat="1" applyFont="1" applyProtection="1"/>
    <xf numFmtId="166" fontId="7" fillId="0" borderId="0" xfId="28" applyNumberFormat="1" applyFont="1" applyFill="1" applyBorder="1" applyAlignment="1" applyProtection="1">
      <protection locked="0"/>
    </xf>
    <xf numFmtId="166" fontId="7" fillId="0" borderId="0" xfId="28" applyNumberFormat="1" applyFont="1" applyFill="1" applyBorder="1" applyProtection="1">
      <protection locked="0"/>
    </xf>
    <xf numFmtId="0" fontId="0" fillId="0" borderId="0" xfId="0" applyBorder="1" applyAlignment="1">
      <alignment horizontal="center"/>
    </xf>
    <xf numFmtId="0" fontId="16" fillId="20" borderId="0" xfId="0" applyFont="1" applyFill="1"/>
    <xf numFmtId="164" fontId="16" fillId="20" borderId="0" xfId="0" applyNumberFormat="1" applyFont="1" applyFill="1"/>
    <xf numFmtId="166" fontId="16" fillId="20" borderId="0" xfId="0" applyNumberFormat="1" applyFont="1" applyFill="1"/>
    <xf numFmtId="3" fontId="16" fillId="20" borderId="0" xfId="0" applyNumberFormat="1" applyFont="1" applyFill="1" applyProtection="1"/>
    <xf numFmtId="164" fontId="16" fillId="20" borderId="0" xfId="0" applyNumberFormat="1" applyFont="1" applyFill="1" applyProtection="1"/>
    <xf numFmtId="0" fontId="35" fillId="0" borderId="0" xfId="0" applyFont="1" applyFill="1" applyAlignment="1" applyProtection="1">
      <alignment horizontal="left"/>
      <protection locked="0"/>
    </xf>
    <xf numFmtId="0" fontId="35" fillId="0" borderId="0" xfId="0" applyFont="1" applyFill="1" applyBorder="1" applyAlignment="1" applyProtection="1">
      <alignment horizontal="left"/>
      <protection locked="0"/>
    </xf>
    <xf numFmtId="0" fontId="29" fillId="0" borderId="0" xfId="0" applyFont="1" applyFill="1" applyBorder="1" applyAlignment="1">
      <alignment vertical="center" wrapText="1"/>
    </xf>
    <xf numFmtId="0" fontId="29" fillId="0" borderId="0" xfId="0" applyFont="1" applyFill="1" applyBorder="1" applyAlignment="1">
      <alignment horizontal="center"/>
    </xf>
    <xf numFmtId="0" fontId="0" fillId="20" borderId="0" xfId="0" applyFill="1" applyBorder="1" applyAlignment="1">
      <alignment horizontal="center"/>
    </xf>
    <xf numFmtId="0" fontId="29" fillId="0" borderId="40" xfId="0" applyFont="1" applyFill="1" applyBorder="1" applyAlignment="1" applyProtection="1">
      <alignment horizontal="center" wrapText="1"/>
    </xf>
    <xf numFmtId="0" fontId="29" fillId="0" borderId="41" xfId="0" applyFont="1" applyFill="1" applyBorder="1" applyAlignment="1" applyProtection="1">
      <alignment horizontal="center" wrapText="1"/>
    </xf>
    <xf numFmtId="0" fontId="0" fillId="0" borderId="41" xfId="0" applyBorder="1" applyProtection="1"/>
    <xf numFmtId="43" fontId="18" fillId="0" borderId="0" xfId="48" applyFont="1" applyFill="1" applyAlignment="1" applyProtection="1">
      <alignment horizontal="center" vertical="center"/>
    </xf>
    <xf numFmtId="43" fontId="17" fillId="0" borderId="0" xfId="48" applyFont="1" applyFill="1" applyAlignment="1" applyProtection="1">
      <alignment vertical="center"/>
    </xf>
    <xf numFmtId="0" fontId="85" fillId="0" borderId="0" xfId="0" applyFont="1"/>
    <xf numFmtId="43" fontId="15" fillId="0" borderId="0" xfId="0" applyNumberFormat="1" applyFont="1" applyAlignment="1" applyProtection="1">
      <alignment horizontal="center"/>
    </xf>
    <xf numFmtId="0" fontId="13" fillId="0" borderId="0" xfId="0" applyFont="1"/>
    <xf numFmtId="0" fontId="0" fillId="20" borderId="0" xfId="0" applyFill="1" applyProtection="1"/>
    <xf numFmtId="0" fontId="0" fillId="20" borderId="42" xfId="0" applyFill="1" applyBorder="1" applyProtection="1"/>
    <xf numFmtId="43" fontId="88" fillId="0" borderId="0" xfId="0" applyNumberFormat="1" applyFont="1"/>
    <xf numFmtId="0" fontId="88" fillId="0" borderId="0" xfId="0" applyFont="1"/>
    <xf numFmtId="43" fontId="0" fillId="0" borderId="0" xfId="0" quotePrefix="1" applyNumberFormat="1"/>
    <xf numFmtId="43" fontId="0" fillId="0" borderId="0" xfId="0" applyNumberFormat="1"/>
    <xf numFmtId="0" fontId="35" fillId="0" borderId="43" xfId="0" applyNumberFormat="1" applyFont="1" applyFill="1" applyBorder="1" applyAlignment="1" applyProtection="1">
      <alignment vertical="center"/>
    </xf>
    <xf numFmtId="43" fontId="134" fillId="0" borderId="0" xfId="53" applyFill="1" applyBorder="1" applyAlignment="1" applyProtection="1">
      <alignment horizontal="center"/>
    </xf>
    <xf numFmtId="0" fontId="35" fillId="0" borderId="0" xfId="0" quotePrefix="1" applyFont="1" applyProtection="1"/>
    <xf numFmtId="43" fontId="90" fillId="0" borderId="28" xfId="62" applyFont="1" applyFill="1" applyBorder="1" applyAlignment="1" applyProtection="1"/>
    <xf numFmtId="43" fontId="10" fillId="0" borderId="28" xfId="62" applyFont="1" applyFill="1" applyBorder="1" applyAlignment="1" applyProtection="1">
      <alignment vertical="center"/>
    </xf>
    <xf numFmtId="3" fontId="68" fillId="22" borderId="10" xfId="0" applyNumberFormat="1" applyFont="1" applyFill="1" applyBorder="1" applyAlignment="1" applyProtection="1">
      <alignment vertical="center"/>
      <protection locked="0"/>
    </xf>
    <xf numFmtId="0" fontId="68" fillId="23" borderId="10" xfId="0" applyFont="1" applyFill="1" applyBorder="1" applyProtection="1"/>
    <xf numFmtId="0" fontId="3" fillId="0" borderId="44" xfId="0" applyFont="1" applyFill="1" applyBorder="1" applyAlignment="1" applyProtection="1">
      <alignment horizontal="center"/>
    </xf>
    <xf numFmtId="0" fontId="68" fillId="0" borderId="10" xfId="0" applyFont="1" applyFill="1" applyBorder="1" applyAlignment="1" applyProtection="1">
      <alignment horizontal="center"/>
    </xf>
    <xf numFmtId="0" fontId="68" fillId="23" borderId="10" xfId="0" applyFont="1" applyFill="1" applyBorder="1" applyAlignment="1" applyProtection="1">
      <alignment horizontal="center"/>
    </xf>
    <xf numFmtId="0" fontId="2" fillId="0" borderId="0" xfId="0" applyFont="1"/>
    <xf numFmtId="0" fontId="91" fillId="0" borderId="0" xfId="0" applyFont="1"/>
    <xf numFmtId="43" fontId="92" fillId="0" borderId="28" xfId="62" applyFont="1" applyFill="1" applyBorder="1" applyAlignment="1" applyProtection="1">
      <alignment vertical="center"/>
    </xf>
    <xf numFmtId="15" fontId="37" fillId="0" borderId="0" xfId="0" applyNumberFormat="1" applyFont="1" applyAlignment="1" applyProtection="1">
      <alignment horizontal="center"/>
    </xf>
    <xf numFmtId="1" fontId="22" fillId="24" borderId="10" xfId="0" applyNumberFormat="1" applyFont="1" applyFill="1" applyBorder="1" applyAlignment="1" applyProtection="1">
      <alignment horizontal="center"/>
      <protection locked="0"/>
    </xf>
    <xf numFmtId="1" fontId="22"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43" fontId="21" fillId="0" borderId="0" xfId="51" applyFont="1" applyFill="1" applyAlignment="1" applyProtection="1">
      <alignment horizontal="right" vertical="center"/>
    </xf>
    <xf numFmtId="0" fontId="97" fillId="0" borderId="0" xfId="0" applyFont="1" applyFill="1" applyBorder="1" applyAlignment="1" applyProtection="1">
      <alignment horizontal="right"/>
    </xf>
    <xf numFmtId="43" fontId="98" fillId="0" borderId="14" xfId="62" applyFont="1" applyFill="1" applyBorder="1" applyAlignment="1" applyProtection="1">
      <alignment horizontal="left" vertical="center"/>
    </xf>
    <xf numFmtId="0" fontId="99" fillId="0" borderId="0" xfId="0" applyFont="1" applyFill="1" applyBorder="1" applyProtection="1"/>
    <xf numFmtId="0" fontId="97" fillId="0" borderId="0" xfId="0" applyFont="1" applyBorder="1" applyProtection="1"/>
    <xf numFmtId="15" fontId="96" fillId="0" borderId="0" xfId="0" applyNumberFormat="1" applyFont="1" applyFill="1" applyBorder="1" applyAlignment="1" applyProtection="1">
      <alignment horizontal="left"/>
    </xf>
    <xf numFmtId="0" fontId="101" fillId="0" borderId="0" xfId="0" applyFont="1" applyFill="1" applyBorder="1" applyAlignment="1" applyProtection="1">
      <alignment horizontal="center" wrapText="1"/>
    </xf>
    <xf numFmtId="3" fontId="3" fillId="22" borderId="10" xfId="0" applyNumberFormat="1" applyFont="1" applyFill="1" applyBorder="1" applyAlignment="1" applyProtection="1">
      <alignment vertical="center"/>
      <protection locked="0"/>
    </xf>
    <xf numFmtId="0" fontId="0" fillId="0" borderId="0" xfId="0" quotePrefix="1" applyProtection="1"/>
    <xf numFmtId="15" fontId="33" fillId="0" borderId="46" xfId="0" applyNumberFormat="1" applyFont="1" applyBorder="1" applyAlignment="1" applyProtection="1">
      <alignment horizontal="center"/>
    </xf>
    <xf numFmtId="15" fontId="30" fillId="0" borderId="0" xfId="0" applyNumberFormat="1" applyFont="1" applyFill="1" applyBorder="1" applyAlignment="1" applyProtection="1">
      <alignment horizontal="center" vertical="center" wrapText="1"/>
    </xf>
    <xf numFmtId="0" fontId="78" fillId="0" borderId="47" xfId="0" applyFont="1" applyFill="1" applyBorder="1" applyAlignment="1" applyProtection="1">
      <alignment horizontal="center" vertical="center"/>
    </xf>
    <xf numFmtId="0" fontId="107" fillId="0" borderId="0" xfId="0" applyFont="1" applyBorder="1" applyAlignment="1" applyProtection="1">
      <alignment horizontal="right"/>
    </xf>
    <xf numFmtId="0" fontId="107" fillId="0" borderId="0" xfId="0" applyFont="1" applyAlignment="1" applyProtection="1">
      <alignment horizontal="right"/>
    </xf>
    <xf numFmtId="0" fontId="107" fillId="0" borderId="48" xfId="0" applyFont="1" applyBorder="1" applyAlignment="1" applyProtection="1">
      <alignment horizontal="right"/>
    </xf>
    <xf numFmtId="43" fontId="106" fillId="0" borderId="0" xfId="40" applyFont="1" applyFill="1" applyAlignment="1" applyProtection="1">
      <alignment vertical="center"/>
    </xf>
    <xf numFmtId="0" fontId="107" fillId="0" borderId="0" xfId="0" applyFont="1" applyProtection="1"/>
    <xf numFmtId="0" fontId="107"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94" fillId="0" borderId="0" xfId="0" applyFont="1" applyFill="1" applyBorder="1" applyAlignment="1" applyProtection="1">
      <alignment horizontal="center" vertical="center"/>
    </xf>
    <xf numFmtId="0" fontId="7" fillId="0" borderId="49" xfId="0" applyFont="1" applyBorder="1" applyAlignment="1" applyProtection="1"/>
    <xf numFmtId="0" fontId="7" fillId="0" borderId="50" xfId="0" applyFont="1" applyBorder="1" applyAlignment="1" applyProtection="1"/>
    <xf numFmtId="0" fontId="26" fillId="0" borderId="51" xfId="0" applyFont="1" applyBorder="1" applyAlignment="1" applyProtection="1">
      <alignment vertical="distributed"/>
    </xf>
    <xf numFmtId="15" fontId="28" fillId="0" borderId="52" xfId="0" applyNumberFormat="1" applyFont="1" applyFill="1" applyBorder="1" applyAlignment="1" applyProtection="1">
      <alignment horizontal="center" vertical="center" wrapText="1"/>
    </xf>
    <xf numFmtId="0" fontId="7" fillId="0" borderId="0" xfId="0" applyFont="1" applyFill="1" applyBorder="1" applyAlignment="1" applyProtection="1">
      <protection locked="0"/>
    </xf>
    <xf numFmtId="0" fontId="102" fillId="0" borderId="0" xfId="0" applyFont="1" applyFill="1" applyBorder="1" applyAlignment="1" applyProtection="1">
      <alignment horizontal="left"/>
      <protection locked="0"/>
    </xf>
    <xf numFmtId="0" fontId="27" fillId="0" borderId="53" xfId="0" applyFont="1" applyFill="1" applyBorder="1" applyAlignment="1" applyProtection="1"/>
    <xf numFmtId="15" fontId="27" fillId="0" borderId="10" xfId="0" applyNumberFormat="1" applyFont="1" applyFill="1" applyBorder="1" applyAlignment="1" applyProtection="1">
      <alignment horizontal="center"/>
    </xf>
    <xf numFmtId="15" fontId="27" fillId="0" borderId="54" xfId="0" applyNumberFormat="1" applyFont="1" applyFill="1" applyBorder="1" applyAlignment="1" applyProtection="1">
      <alignment horizontal="center"/>
    </xf>
    <xf numFmtId="0" fontId="33" fillId="25" borderId="55" xfId="0" applyFont="1" applyFill="1" applyBorder="1" applyAlignment="1" applyProtection="1">
      <alignment horizontal="centerContinuous"/>
    </xf>
    <xf numFmtId="15" fontId="103" fillId="0" borderId="41" xfId="0" applyNumberFormat="1" applyFont="1" applyFill="1" applyBorder="1" applyAlignment="1" applyProtection="1">
      <alignment horizontal="center" wrapText="1"/>
    </xf>
    <xf numFmtId="15" fontId="103" fillId="0" borderId="56" xfId="0" applyNumberFormat="1" applyFont="1" applyFill="1" applyBorder="1" applyAlignment="1" applyProtection="1">
      <alignment horizontal="center" wrapText="1"/>
    </xf>
    <xf numFmtId="0" fontId="38" fillId="0" borderId="53" xfId="0" applyFont="1" applyFill="1" applyBorder="1" applyAlignment="1" applyProtection="1">
      <alignment horizontal="center"/>
    </xf>
    <xf numFmtId="0" fontId="38" fillId="0" borderId="57" xfId="0" applyFont="1" applyFill="1" applyBorder="1" applyAlignment="1" applyProtection="1">
      <alignment horizontal="center"/>
    </xf>
    <xf numFmtId="0" fontId="33"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6" fillId="0" borderId="0" xfId="0" applyFont="1" applyFill="1" applyBorder="1" applyAlignment="1" applyProtection="1">
      <alignment horizont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2" fillId="0" borderId="40" xfId="0" applyFont="1" applyFill="1" applyBorder="1" applyAlignment="1" applyProtection="1">
      <alignment horizontal="center" wrapText="1"/>
    </xf>
    <xf numFmtId="0" fontId="29" fillId="0" borderId="40" xfId="0" applyFont="1" applyBorder="1" applyAlignment="1">
      <alignment horizontal="center" wrapText="1"/>
    </xf>
    <xf numFmtId="3" fontId="68" fillId="22" borderId="60" xfId="0" applyNumberFormat="1" applyFont="1" applyFill="1" applyBorder="1" applyAlignment="1" applyProtection="1">
      <alignment vertical="center"/>
      <protection locked="0"/>
    </xf>
    <xf numFmtId="0" fontId="68" fillId="0" borderId="61" xfId="0" applyFont="1" applyFill="1" applyBorder="1" applyAlignment="1" applyProtection="1">
      <alignment horizontal="center"/>
    </xf>
    <xf numFmtId="0" fontId="78" fillId="0" borderId="62" xfId="0" applyFont="1" applyFill="1" applyBorder="1" applyAlignment="1" applyProtection="1">
      <alignment horizontal="center" vertical="center"/>
    </xf>
    <xf numFmtId="43" fontId="108" fillId="0" borderId="20" xfId="62" applyFont="1" applyFill="1" applyBorder="1" applyAlignment="1" applyProtection="1">
      <alignment vertical="center"/>
    </xf>
    <xf numFmtId="0" fontId="25" fillId="0" borderId="0" xfId="0" applyFont="1" applyProtection="1"/>
    <xf numFmtId="0" fontId="0" fillId="0" borderId="10" xfId="0" applyBorder="1" applyAlignment="1" applyProtection="1">
      <alignment horizontal="center"/>
    </xf>
    <xf numFmtId="43" fontId="103" fillId="0" borderId="0" xfId="0" applyNumberFormat="1" applyFont="1" applyBorder="1" applyAlignment="1" applyProtection="1">
      <alignment vertical="center" wrapText="1"/>
    </xf>
    <xf numFmtId="0" fontId="103" fillId="0" borderId="0" xfId="0" applyFont="1" applyFill="1" applyBorder="1" applyAlignment="1" applyProtection="1">
      <alignment wrapText="1"/>
    </xf>
    <xf numFmtId="0" fontId="29" fillId="0" borderId="63" xfId="0" applyFont="1" applyFill="1" applyBorder="1" applyAlignment="1" applyProtection="1">
      <alignment wrapText="1"/>
    </xf>
    <xf numFmtId="0" fontId="35" fillId="0" borderId="64" xfId="0" applyFont="1" applyFill="1" applyBorder="1" applyAlignment="1" applyProtection="1">
      <alignment horizontal="center" wrapText="1"/>
    </xf>
    <xf numFmtId="0" fontId="22" fillId="20" borderId="29" xfId="0" applyFont="1" applyFill="1" applyBorder="1" applyAlignment="1" applyProtection="1"/>
    <xf numFmtId="0" fontId="29"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9" fontId="105" fillId="26" borderId="10" xfId="57" applyFont="1" applyFill="1" applyBorder="1" applyAlignment="1" applyProtection="1">
      <alignment horizontal="center" vertical="center" wrapText="1"/>
    </xf>
    <xf numFmtId="43" fontId="29" fillId="0" borderId="0" xfId="0" applyNumberFormat="1" applyFont="1" applyAlignment="1" applyProtection="1"/>
    <xf numFmtId="15" fontId="29" fillId="0" borderId="0" xfId="0" applyNumberFormat="1" applyFont="1"/>
    <xf numFmtId="0" fontId="0" fillId="0" borderId="28" xfId="0" applyFill="1" applyBorder="1" applyProtection="1"/>
    <xf numFmtId="43" fontId="109" fillId="0" borderId="28" xfId="62" applyFont="1" applyFill="1" applyBorder="1" applyAlignment="1" applyProtection="1">
      <alignment vertical="center"/>
    </xf>
    <xf numFmtId="0" fontId="0" fillId="0" borderId="28" xfId="0" applyBorder="1" applyProtection="1"/>
    <xf numFmtId="0" fontId="0" fillId="0" borderId="28" xfId="0" applyBorder="1"/>
    <xf numFmtId="9" fontId="16" fillId="0" borderId="0" xfId="57" applyFont="1" applyProtection="1"/>
    <xf numFmtId="43" fontId="25" fillId="24" borderId="65" xfId="59" applyFont="1" applyFill="1" applyBorder="1" applyAlignment="1" applyProtection="1">
      <alignment horizontal="center"/>
    </xf>
    <xf numFmtId="15" fontId="25" fillId="24" borderId="65" xfId="59" applyNumberFormat="1" applyFont="1" applyFill="1" applyBorder="1" applyAlignment="1" applyProtection="1">
      <alignment horizontal="center"/>
    </xf>
    <xf numFmtId="43" fontId="88" fillId="0" borderId="0" xfId="0" applyNumberFormat="1" applyFont="1" applyAlignment="1"/>
    <xf numFmtId="0" fontId="35" fillId="0" borderId="40" xfId="0" applyFont="1" applyFill="1" applyBorder="1" applyAlignment="1" applyProtection="1">
      <alignment horizontal="center" wrapText="1"/>
    </xf>
    <xf numFmtId="0" fontId="68" fillId="0" borderId="66" xfId="0" applyFont="1" applyFill="1" applyBorder="1" applyProtection="1"/>
    <xf numFmtId="0" fontId="31" fillId="27" borderId="0" xfId="0" applyFont="1" applyFill="1" applyBorder="1" applyAlignment="1" applyProtection="1">
      <alignment horizontal="left"/>
      <protection locked="0"/>
    </xf>
    <xf numFmtId="0" fontId="35" fillId="27" borderId="0" xfId="0" applyFont="1" applyFill="1" applyBorder="1" applyAlignment="1" applyProtection="1">
      <alignment horizontal="left"/>
      <protection locked="0"/>
    </xf>
    <xf numFmtId="0" fontId="35" fillId="27"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2"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7" xfId="0" applyNumberFormat="1" applyFill="1" applyBorder="1" applyProtection="1">
      <protection locked="0"/>
    </xf>
    <xf numFmtId="171" fontId="22" fillId="20" borderId="0" xfId="0" applyNumberFormat="1" applyFont="1" applyFill="1"/>
    <xf numFmtId="1" fontId="0" fillId="25" borderId="54"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64" fontId="33" fillId="19" borderId="70" xfId="0" applyNumberFormat="1" applyFont="1" applyFill="1" applyBorder="1" applyAlignment="1" applyProtection="1">
      <alignment horizontal="center"/>
      <protection locked="0"/>
    </xf>
    <xf numFmtId="164" fontId="33" fillId="19" borderId="71" xfId="0" applyNumberFormat="1" applyFont="1" applyFill="1" applyBorder="1" applyAlignment="1" applyProtection="1">
      <alignment horizontal="center"/>
      <protection locked="0"/>
    </xf>
    <xf numFmtId="164" fontId="33" fillId="19" borderId="72" xfId="0" applyNumberFormat="1" applyFont="1" applyFill="1" applyBorder="1" applyAlignment="1" applyProtection="1">
      <alignment horizontal="center"/>
      <protection locked="0"/>
    </xf>
    <xf numFmtId="0" fontId="0" fillId="0" borderId="73" xfId="0" applyFill="1" applyBorder="1" applyAlignment="1" applyProtection="1">
      <alignment horizontal="center"/>
    </xf>
    <xf numFmtId="0" fontId="0" fillId="0" borderId="0" xfId="0" applyBorder="1" applyAlignment="1">
      <alignment horizontal="left" wrapText="1"/>
    </xf>
    <xf numFmtId="43" fontId="36" fillId="0" borderId="0" xfId="0" applyNumberFormat="1" applyFont="1"/>
    <xf numFmtId="0" fontId="0" fillId="0" borderId="0" xfId="0" applyBorder="1" applyAlignment="1">
      <alignment horizontal="left"/>
    </xf>
    <xf numFmtId="43" fontId="2" fillId="0" borderId="65" xfId="59" applyFont="1" applyBorder="1" applyAlignment="1" applyProtection="1">
      <alignment horizontal="right"/>
    </xf>
    <xf numFmtId="43" fontId="113" fillId="0" borderId="0" xfId="52" applyFont="1" applyFill="1" applyBorder="1" applyProtection="1"/>
    <xf numFmtId="3" fontId="29" fillId="25" borderId="70" xfId="0" applyNumberFormat="1" applyFont="1" applyFill="1" applyBorder="1" applyAlignment="1" applyProtection="1">
      <protection locked="0"/>
    </xf>
    <xf numFmtId="3" fontId="29" fillId="25" borderId="74" xfId="0" applyNumberFormat="1" applyFont="1" applyFill="1" applyBorder="1" applyAlignment="1" applyProtection="1">
      <protection locked="0"/>
    </xf>
    <xf numFmtId="3" fontId="29" fillId="0" borderId="10" xfId="0" applyNumberFormat="1" applyFont="1" applyFill="1" applyBorder="1" applyAlignment="1" applyProtection="1"/>
    <xf numFmtId="3" fontId="29" fillId="0" borderId="68" xfId="0" applyNumberFormat="1" applyFont="1" applyFill="1" applyBorder="1" applyAlignment="1" applyProtection="1"/>
    <xf numFmtId="3" fontId="22" fillId="25" borderId="10" xfId="28" applyNumberFormat="1" applyFont="1" applyFill="1" applyBorder="1" applyAlignment="1" applyProtection="1">
      <protection locked="0"/>
    </xf>
    <xf numFmtId="3" fontId="7" fillId="0" borderId="75" xfId="28" applyNumberFormat="1" applyFont="1" applyFill="1" applyBorder="1" applyAlignment="1" applyProtection="1"/>
    <xf numFmtId="3" fontId="22" fillId="25" borderId="76" xfId="28" applyNumberFormat="1" applyFont="1" applyFill="1" applyBorder="1" applyAlignment="1" applyProtection="1">
      <protection locked="0"/>
    </xf>
    <xf numFmtId="3" fontId="7" fillId="0" borderId="77" xfId="28" applyNumberFormat="1" applyFont="1" applyFill="1" applyBorder="1" applyAlignment="1" applyProtection="1"/>
    <xf numFmtId="164" fontId="15" fillId="19" borderId="78"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6" fillId="0" borderId="80" xfId="0" applyNumberFormat="1" applyFont="1" applyFill="1" applyBorder="1" applyAlignment="1" applyProtection="1">
      <alignment vertical="center" wrapText="1"/>
    </xf>
    <xf numFmtId="0" fontId="89" fillId="0" borderId="81" xfId="0" applyNumberFormat="1" applyFont="1" applyFill="1" applyBorder="1" applyAlignment="1" applyProtection="1">
      <alignment horizontal="center" vertical="center" wrapText="1"/>
    </xf>
    <xf numFmtId="0" fontId="89" fillId="0" borderId="82" xfId="0" applyNumberFormat="1" applyFont="1" applyFill="1" applyBorder="1" applyAlignment="1" applyProtection="1">
      <alignment horizontal="center" vertical="center" wrapText="1"/>
    </xf>
    <xf numFmtId="49" fontId="27" fillId="0" borderId="83" xfId="0" applyNumberFormat="1" applyFont="1" applyFill="1" applyBorder="1" applyAlignment="1" applyProtection="1">
      <protection locked="0"/>
    </xf>
    <xf numFmtId="0" fontId="0" fillId="0" borderId="85" xfId="0" applyBorder="1" applyAlignment="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7" xfId="0" applyNumberFormat="1" applyFill="1" applyBorder="1" applyAlignment="1" applyProtection="1">
      <alignment horizontal="left"/>
      <protection locked="0"/>
    </xf>
    <xf numFmtId="0" fontId="0" fillId="24" borderId="67" xfId="0" applyNumberFormat="1" applyFill="1" applyBorder="1" applyProtection="1">
      <protection locked="0"/>
    </xf>
    <xf numFmtId="0" fontId="0" fillId="24" borderId="67" xfId="0" applyNumberFormat="1" applyFill="1" applyBorder="1" applyAlignment="1" applyProtection="1">
      <alignment horizontal="center"/>
      <protection locked="0"/>
    </xf>
    <xf numFmtId="43" fontId="134" fillId="25" borderId="87" xfId="62" applyFill="1" applyBorder="1" applyAlignment="1" applyProtection="1">
      <alignment vertical="center"/>
    </xf>
    <xf numFmtId="0" fontId="0" fillId="27" borderId="88" xfId="0" applyFill="1" applyBorder="1"/>
    <xf numFmtId="0" fontId="0" fillId="0" borderId="20" xfId="0" applyBorder="1" applyProtection="1"/>
    <xf numFmtId="43" fontId="40" fillId="24" borderId="89" xfId="62" applyFont="1" applyFill="1" applyBorder="1" applyAlignment="1" applyProtection="1">
      <alignment horizontal="center" vertical="center"/>
    </xf>
    <xf numFmtId="43" fontId="40" fillId="0" borderId="90" xfId="62" applyFont="1" applyFill="1" applyBorder="1" applyAlignment="1" applyProtection="1">
      <alignment vertical="center"/>
    </xf>
    <xf numFmtId="0" fontId="0" fillId="0" borderId="91" xfId="0" applyNumberFormat="1" applyFill="1" applyBorder="1"/>
    <xf numFmtId="15" fontId="28" fillId="0" borderId="92"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8" fillId="0" borderId="10" xfId="0" applyNumberFormat="1" applyFont="1" applyFill="1" applyBorder="1" applyAlignment="1" applyProtection="1">
      <alignment vertical="center"/>
    </xf>
    <xf numFmtId="3" fontId="68" fillId="0" borderId="61" xfId="0" applyNumberFormat="1" applyFont="1" applyFill="1" applyBorder="1" applyAlignment="1" applyProtection="1">
      <alignment vertical="center"/>
    </xf>
    <xf numFmtId="168" fontId="0" fillId="0" borderId="10" xfId="0" applyNumberFormat="1" applyFill="1" applyBorder="1" applyAlignment="1" applyProtection="1">
      <alignment horizontal="center"/>
    </xf>
    <xf numFmtId="168" fontId="0" fillId="0" borderId="10" xfId="0" applyNumberFormat="1" applyFill="1" applyBorder="1" applyProtection="1"/>
    <xf numFmtId="168" fontId="16" fillId="28" borderId="93" xfId="0" applyNumberFormat="1" applyFont="1" applyFill="1" applyBorder="1" applyAlignment="1" applyProtection="1">
      <alignment horizontal="center"/>
    </xf>
    <xf numFmtId="168" fontId="22" fillId="28" borderId="93" xfId="0" applyNumberFormat="1" applyFont="1" applyFill="1" applyBorder="1" applyAlignment="1" applyProtection="1">
      <alignment horizontal="center"/>
    </xf>
    <xf numFmtId="49" fontId="85" fillId="0" borderId="10" xfId="0" applyNumberFormat="1" applyFont="1" applyBorder="1" applyAlignment="1" applyProtection="1">
      <alignment horizontal="center"/>
      <protection locked="0"/>
    </xf>
    <xf numFmtId="43" fontId="70" fillId="0" borderId="10" xfId="52" applyFont="1" applyBorder="1" applyAlignment="1" applyProtection="1">
      <alignment horizontal="center"/>
    </xf>
    <xf numFmtId="0" fontId="70" fillId="0" borderId="10" xfId="0" applyFont="1" applyBorder="1" applyAlignment="1" applyProtection="1">
      <alignment horizontal="center"/>
    </xf>
    <xf numFmtId="0" fontId="78" fillId="0" borderId="94" xfId="0" applyFont="1" applyFill="1" applyBorder="1" applyAlignment="1" applyProtection="1">
      <alignment horizontal="center" vertical="center" wrapText="1"/>
    </xf>
    <xf numFmtId="0" fontId="78" fillId="0" borderId="95" xfId="0" applyFont="1" applyFill="1" applyBorder="1" applyAlignment="1" applyProtection="1">
      <alignment horizontal="center"/>
    </xf>
    <xf numFmtId="0" fontId="78" fillId="0" borderId="96" xfId="0" applyFont="1" applyFill="1" applyBorder="1" applyAlignment="1" applyProtection="1">
      <alignment horizontal="center"/>
    </xf>
    <xf numFmtId="0" fontId="78" fillId="0" borderId="97"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vertical="center"/>
    </xf>
    <xf numFmtId="0" fontId="78" fillId="0" borderId="99" xfId="0" applyNumberFormat="1" applyFont="1" applyFill="1" applyBorder="1" applyAlignment="1" applyProtection="1">
      <alignment horizontal="center" vertical="center"/>
    </xf>
    <xf numFmtId="0" fontId="82" fillId="0" borderId="100" xfId="0" applyNumberFormat="1" applyFont="1" applyFill="1" applyBorder="1" applyAlignment="1" applyProtection="1">
      <alignment horizontal="center" vertical="center"/>
    </xf>
    <xf numFmtId="0" fontId="82" fillId="0" borderId="101" xfId="0" applyNumberFormat="1" applyFont="1" applyFill="1" applyBorder="1" applyAlignment="1" applyProtection="1">
      <alignment horizontal="center" vertical="center"/>
    </xf>
    <xf numFmtId="0" fontId="82" fillId="0" borderId="102" xfId="0" applyNumberFormat="1" applyFont="1" applyFill="1" applyBorder="1" applyAlignment="1" applyProtection="1">
      <alignment horizontal="center" vertical="center"/>
    </xf>
    <xf numFmtId="0" fontId="78" fillId="0" borderId="103" xfId="0" applyFont="1" applyFill="1" applyBorder="1" applyAlignment="1" applyProtection="1">
      <alignment horizontal="center" vertical="center"/>
    </xf>
    <xf numFmtId="0" fontId="78" fillId="0" borderId="104" xfId="0" applyFont="1" applyFill="1" applyBorder="1" applyAlignment="1" applyProtection="1">
      <alignment horizontal="center" vertical="center"/>
    </xf>
    <xf numFmtId="0" fontId="78" fillId="0" borderId="105" xfId="0" applyFont="1" applyFill="1" applyBorder="1" applyAlignment="1" applyProtection="1">
      <alignment horizontal="center" vertical="center"/>
    </xf>
    <xf numFmtId="0" fontId="78" fillId="0" borderId="106" xfId="0" applyFont="1" applyFill="1" applyBorder="1" applyAlignment="1" applyProtection="1">
      <alignment horizontal="center" vertical="center"/>
    </xf>
    <xf numFmtId="0" fontId="3" fillId="0" borderId="107" xfId="0" applyFont="1" applyFill="1" applyBorder="1" applyAlignment="1" applyProtection="1">
      <alignment horizontal="center"/>
    </xf>
    <xf numFmtId="164" fontId="15" fillId="19" borderId="104" xfId="0" applyNumberFormat="1" applyFont="1" applyFill="1" applyBorder="1" applyAlignment="1" applyProtection="1">
      <alignment horizontal="center"/>
      <protection locked="0"/>
    </xf>
    <xf numFmtId="164" fontId="15" fillId="19" borderId="108" xfId="0" applyNumberFormat="1" applyFont="1" applyFill="1" applyBorder="1" applyAlignment="1" applyProtection="1">
      <alignment horizontal="center"/>
      <protection locked="0"/>
    </xf>
    <xf numFmtId="43" fontId="2" fillId="0" borderId="65" xfId="59" applyFont="1" applyFill="1" applyBorder="1" applyAlignment="1" applyProtection="1">
      <alignment horizontal="right"/>
    </xf>
    <xf numFmtId="0" fontId="0" fillId="0" borderId="0" xfId="0" applyBorder="1" applyAlignment="1" applyProtection="1">
      <alignment horizontal="right"/>
    </xf>
    <xf numFmtId="0" fontId="35" fillId="27" borderId="0" xfId="0" applyFont="1" applyFill="1" applyAlignment="1" applyProtection="1">
      <alignment horizontal="right" vertical="top"/>
      <protection locked="0"/>
    </xf>
    <xf numFmtId="0" fontId="35" fillId="27" borderId="0" xfId="0" applyFont="1" applyFill="1" applyBorder="1" applyAlignment="1" applyProtection="1">
      <alignment horizontal="right" vertical="top"/>
      <protection locked="0"/>
    </xf>
    <xf numFmtId="0" fontId="29" fillId="0" borderId="0" xfId="0" applyFont="1" applyAlignment="1">
      <alignment horizontal="left"/>
    </xf>
    <xf numFmtId="0" fontId="29" fillId="0" borderId="0" xfId="0" applyFont="1" applyFill="1" applyAlignment="1">
      <alignment horizontal="left"/>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29" fillId="0" borderId="0" xfId="0" applyFont="1"/>
    <xf numFmtId="0" fontId="29" fillId="0" borderId="0" xfId="0" applyFont="1" applyFill="1"/>
    <xf numFmtId="0" fontId="123" fillId="0" borderId="0" xfId="0" applyFont="1" applyFill="1"/>
    <xf numFmtId="0" fontId="81" fillId="0" borderId="29"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1" fillId="27" borderId="29" xfId="0" applyFont="1" applyFill="1" applyBorder="1" applyAlignment="1">
      <alignment horizontal="justify" vertical="center" wrapText="1"/>
    </xf>
    <xf numFmtId="0" fontId="82" fillId="27" borderId="109" xfId="0" applyFont="1" applyFill="1" applyBorder="1" applyAlignment="1">
      <alignment horizontal="justify" vertical="center" wrapText="1"/>
    </xf>
    <xf numFmtId="0" fontId="82" fillId="27" borderId="110" xfId="0" applyFont="1" applyFill="1" applyBorder="1" applyAlignment="1">
      <alignment horizontal="justify" vertical="center" wrapText="1"/>
    </xf>
    <xf numFmtId="0" fontId="81" fillId="27" borderId="29" xfId="0" applyFont="1" applyFill="1" applyBorder="1" applyAlignment="1">
      <alignment horizontal="left" vertical="center" wrapText="1"/>
    </xf>
    <xf numFmtId="0" fontId="81" fillId="27" borderId="109" xfId="0" applyFont="1" applyFill="1" applyBorder="1" applyAlignment="1">
      <alignment horizontal="left" vertical="center" wrapText="1"/>
    </xf>
    <xf numFmtId="0" fontId="81" fillId="27" borderId="110" xfId="0" applyFont="1" applyFill="1" applyBorder="1" applyAlignment="1">
      <alignment horizontal="left" vertical="center" wrapText="1"/>
    </xf>
    <xf numFmtId="0" fontId="82" fillId="0" borderId="29" xfId="0" applyFont="1" applyBorder="1" applyAlignment="1">
      <alignment vertical="center" wrapText="1"/>
    </xf>
    <xf numFmtId="0" fontId="82" fillId="0" borderId="109" xfId="0" applyFont="1" applyBorder="1" applyAlignment="1">
      <alignment vertical="center" wrapText="1"/>
    </xf>
    <xf numFmtId="0" fontId="81" fillId="0" borderId="109" xfId="0" applyFont="1" applyBorder="1" applyAlignment="1">
      <alignment horizontal="justify" vertical="center" wrapText="1"/>
    </xf>
    <xf numFmtId="0" fontId="82" fillId="0" borderId="109" xfId="0" applyFont="1" applyBorder="1" applyAlignment="1">
      <alignment horizontal="justify" vertical="center" wrapText="1"/>
    </xf>
    <xf numFmtId="0" fontId="81" fillId="0" borderId="110" xfId="0" applyFont="1" applyBorder="1" applyAlignment="1">
      <alignment horizontal="justify" vertical="center" wrapText="1"/>
    </xf>
    <xf numFmtId="0" fontId="81" fillId="0" borderId="29" xfId="0" applyFont="1" applyBorder="1" applyAlignment="1">
      <alignment horizontal="justify" vertical="center" wrapText="1"/>
    </xf>
    <xf numFmtId="43" fontId="82" fillId="0" borderId="66" xfId="0" applyNumberFormat="1" applyFont="1" applyBorder="1" applyAlignment="1">
      <alignment horizontal="left" vertical="center" wrapText="1"/>
    </xf>
    <xf numFmtId="0" fontId="82" fillId="0" borderId="104" xfId="0" applyFont="1" applyBorder="1" applyAlignment="1">
      <alignment horizontal="left" vertical="center"/>
    </xf>
    <xf numFmtId="0" fontId="82" fillId="0" borderId="106" xfId="0" applyFont="1" applyBorder="1" applyAlignment="1">
      <alignment horizontal="left" vertical="center"/>
    </xf>
    <xf numFmtId="0" fontId="124" fillId="0" borderId="0" xfId="0" applyFont="1" applyAlignment="1">
      <alignment horizontal="right"/>
    </xf>
    <xf numFmtId="0" fontId="68" fillId="23" borderId="10" xfId="0" applyFont="1" applyFill="1" applyBorder="1" applyAlignment="1" applyProtection="1">
      <alignment horizontal="left"/>
    </xf>
    <xf numFmtId="0" fontId="68" fillId="0" borderId="10" xfId="0" applyFont="1" applyFill="1" applyBorder="1" applyAlignment="1" applyProtection="1">
      <alignment horizontal="left"/>
    </xf>
    <xf numFmtId="0" fontId="125" fillId="0" borderId="0" xfId="0" applyFont="1" applyAlignment="1" applyProtection="1">
      <alignment vertical="center"/>
    </xf>
    <xf numFmtId="0" fontId="126" fillId="0" borderId="0" xfId="0" applyFont="1" applyProtection="1"/>
    <xf numFmtId="3" fontId="25" fillId="24" borderId="65" xfId="59" applyNumberFormat="1" applyFont="1" applyFill="1" applyBorder="1" applyAlignment="1" applyProtection="1">
      <alignment horizontal="left"/>
    </xf>
    <xf numFmtId="15" fontId="25" fillId="24" borderId="65" xfId="59" applyNumberFormat="1" applyFont="1" applyFill="1" applyBorder="1" applyAlignment="1" applyProtection="1">
      <alignment horizontal="left"/>
    </xf>
    <xf numFmtId="14" fontId="25" fillId="24" borderId="65" xfId="59" applyNumberFormat="1" applyFont="1" applyFill="1" applyBorder="1" applyAlignment="1" applyProtection="1">
      <alignment horizontal="left"/>
    </xf>
    <xf numFmtId="172" fontId="25" fillId="24" borderId="65" xfId="59" applyNumberFormat="1" applyFont="1" applyFill="1" applyBorder="1" applyAlignment="1" applyProtection="1">
      <alignment horizontal="left"/>
    </xf>
    <xf numFmtId="43" fontId="25" fillId="24" borderId="65" xfId="59"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15" fontId="2" fillId="0" borderId="10" xfId="59" applyNumberFormat="1" applyFont="1" applyFill="1" applyBorder="1" applyAlignment="1" applyProtection="1">
      <alignment horizontal="left"/>
      <protection locked="0"/>
    </xf>
    <xf numFmtId="15" fontId="2" fillId="21" borderId="10" xfId="59" applyNumberFormat="1" applyFont="1" applyFill="1" applyBorder="1" applyAlignment="1" applyProtection="1">
      <alignment horizontal="left"/>
      <protection locked="0"/>
    </xf>
    <xf numFmtId="0" fontId="29" fillId="0" borderId="56" xfId="0" applyFont="1" applyFill="1" applyBorder="1" applyAlignment="1" applyProtection="1">
      <alignment horizontal="center" wrapText="1"/>
    </xf>
    <xf numFmtId="3" fontId="13" fillId="20" borderId="11" xfId="0" applyNumberFormat="1" applyFont="1" applyFill="1" applyBorder="1" applyAlignment="1">
      <alignment horizontal="right"/>
    </xf>
    <xf numFmtId="0" fontId="0" fillId="0" borderId="0" xfId="0" applyAlignment="1">
      <alignment horizontal="left"/>
    </xf>
    <xf numFmtId="0" fontId="33" fillId="27" borderId="10" xfId="0" applyFont="1" applyFill="1" applyBorder="1" applyAlignment="1">
      <alignment horizontal="center" vertical="center" wrapText="1"/>
    </xf>
    <xf numFmtId="164" fontId="33" fillId="19" borderId="111" xfId="0" applyNumberFormat="1" applyFont="1" applyFill="1" applyBorder="1" applyAlignment="1" applyProtection="1">
      <alignment horizontal="center"/>
    </xf>
    <xf numFmtId="164" fontId="15" fillId="19" borderId="78" xfId="0" applyNumberFormat="1" applyFont="1" applyFill="1" applyBorder="1" applyAlignment="1" applyProtection="1">
      <alignment horizontal="center"/>
    </xf>
    <xf numFmtId="3" fontId="68" fillId="29" borderId="10" xfId="0" applyNumberFormat="1" applyFont="1" applyFill="1" applyBorder="1" applyAlignment="1" applyProtection="1">
      <alignment vertical="center"/>
      <protection locked="0"/>
    </xf>
    <xf numFmtId="0" fontId="94" fillId="0" borderId="10" xfId="0" applyFont="1" applyFill="1" applyBorder="1" applyAlignment="1" applyProtection="1">
      <alignment horizontal="center" vertical="center"/>
    </xf>
    <xf numFmtId="0" fontId="0" fillId="0" borderId="112" xfId="0" applyBorder="1" applyProtection="1">
      <protection locked="0"/>
    </xf>
    <xf numFmtId="0" fontId="0" fillId="0" borderId="91" xfId="0" applyBorder="1" applyProtection="1">
      <protection locked="0"/>
    </xf>
    <xf numFmtId="0" fontId="0" fillId="0" borderId="107" xfId="0" applyBorder="1" applyProtection="1">
      <protection locked="0"/>
    </xf>
    <xf numFmtId="15" fontId="0" fillId="21" borderId="0" xfId="0" applyNumberFormat="1" applyFill="1" applyAlignment="1" applyProtection="1">
      <alignment horizontal="center" vertical="center"/>
      <protection locked="0"/>
    </xf>
    <xf numFmtId="1" fontId="0" fillId="0" borderId="10" xfId="0" applyNumberFormat="1" applyFill="1" applyBorder="1" applyAlignment="1" applyProtection="1">
      <alignment horizontal="center"/>
    </xf>
    <xf numFmtId="2" fontId="0" fillId="0" borderId="10" xfId="0" applyNumberFormat="1" applyFill="1" applyBorder="1" applyProtection="1"/>
    <xf numFmtId="9" fontId="68" fillId="22" borderId="10" xfId="0" applyNumberFormat="1" applyFont="1" applyFill="1" applyBorder="1" applyAlignment="1" applyProtection="1">
      <alignment vertical="center"/>
      <protection locked="0"/>
    </xf>
    <xf numFmtId="1" fontId="0" fillId="24" borderId="10" xfId="0" applyNumberFormat="1" applyFill="1" applyBorder="1" applyProtection="1">
      <protection locked="0"/>
    </xf>
    <xf numFmtId="1" fontId="0" fillId="0" borderId="10" xfId="0" applyNumberFormat="1" applyFill="1" applyBorder="1" applyProtection="1"/>
    <xf numFmtId="0" fontId="16" fillId="20" borderId="29" xfId="0" applyFont="1" applyFill="1" applyBorder="1" applyAlignment="1" applyProtection="1"/>
    <xf numFmtId="1" fontId="16" fillId="20" borderId="10" xfId="0" applyNumberFormat="1" applyFont="1" applyFill="1" applyBorder="1" applyAlignment="1" applyProtection="1">
      <alignment horizontal="center"/>
    </xf>
    <xf numFmtId="0" fontId="16" fillId="0" borderId="10" xfId="0" applyFont="1" applyBorder="1" applyAlignment="1" applyProtection="1">
      <alignment horizontal="center"/>
    </xf>
    <xf numFmtId="0" fontId="16" fillId="20" borderId="113" xfId="0" applyFont="1" applyFill="1" applyBorder="1" applyAlignment="1" applyProtection="1"/>
    <xf numFmtId="1" fontId="16" fillId="20" borderId="67" xfId="0" applyNumberFormat="1" applyFont="1" applyFill="1" applyBorder="1" applyAlignment="1" applyProtection="1">
      <alignment horizontal="center"/>
    </xf>
    <xf numFmtId="0" fontId="16" fillId="0" borderId="67" xfId="0" applyFont="1" applyBorder="1" applyAlignment="1" applyProtection="1">
      <alignment horizontal="center"/>
    </xf>
    <xf numFmtId="168" fontId="16" fillId="0" borderId="93" xfId="0" applyNumberFormat="1" applyFont="1" applyFill="1" applyBorder="1" applyAlignment="1" applyProtection="1">
      <alignment horizontal="center"/>
    </xf>
    <xf numFmtId="3" fontId="131" fillId="0" borderId="10" xfId="0" applyNumberFormat="1" applyFont="1" applyBorder="1" applyAlignment="1" applyProtection="1">
      <alignment vertical="center" wrapText="1"/>
    </xf>
    <xf numFmtId="0" fontId="132" fillId="0" borderId="0" xfId="0" applyFont="1" applyFill="1" applyBorder="1" applyProtection="1">
      <protection locked="0"/>
    </xf>
    <xf numFmtId="15" fontId="132" fillId="0" borderId="0" xfId="0" applyNumberFormat="1" applyFont="1" applyFill="1" applyBorder="1" applyAlignment="1" applyProtection="1">
      <alignment horizontal="left"/>
      <protection locked="0"/>
    </xf>
    <xf numFmtId="49" fontId="15" fillId="0" borderId="0" xfId="0" applyNumberFormat="1" applyFont="1"/>
    <xf numFmtId="0" fontId="81" fillId="0" borderId="10" xfId="0" applyFont="1" applyBorder="1" applyAlignment="1" applyProtection="1">
      <alignment horizontal="center" vertical="top" wrapText="1"/>
      <protection locked="0"/>
    </xf>
    <xf numFmtId="0" fontId="81" fillId="0" borderId="10" xfId="0" applyFont="1" applyBorder="1" applyAlignment="1" applyProtection="1">
      <alignment vertical="top" wrapText="1"/>
      <protection locked="0"/>
    </xf>
    <xf numFmtId="0" fontId="0" fillId="0" borderId="0" xfId="0" applyProtection="1">
      <protection locked="0"/>
    </xf>
    <xf numFmtId="0" fontId="127" fillId="0" borderId="0" xfId="0" applyFont="1" applyAlignment="1">
      <alignment horizontal="left"/>
    </xf>
    <xf numFmtId="43" fontId="133" fillId="0" borderId="0" xfId="62" applyFont="1" applyFill="1" applyBorder="1" applyAlignment="1" applyProtection="1">
      <alignment horizontal="right" vertical="center"/>
    </xf>
    <xf numFmtId="15" fontId="133" fillId="0" borderId="0" xfId="62" applyNumberFormat="1" applyFont="1" applyFill="1" applyBorder="1" applyAlignment="1" applyProtection="1">
      <alignment horizontal="left" vertical="center"/>
    </xf>
    <xf numFmtId="0" fontId="133" fillId="0" borderId="0" xfId="0" applyFont="1" applyBorder="1" applyAlignment="1" applyProtection="1">
      <alignment horizontal="right"/>
    </xf>
    <xf numFmtId="15" fontId="133" fillId="0" borderId="0" xfId="0" applyNumberFormat="1" applyFont="1" applyBorder="1" applyAlignment="1" applyProtection="1">
      <alignment horizontal="left"/>
    </xf>
    <xf numFmtId="0" fontId="133" fillId="0" borderId="0" xfId="0" applyFont="1" applyAlignment="1" applyProtection="1">
      <alignment horizontal="right"/>
    </xf>
    <xf numFmtId="15" fontId="133" fillId="0" borderId="0" xfId="0" applyNumberFormat="1" applyFont="1" applyAlignment="1" applyProtection="1">
      <alignment horizontal="left"/>
    </xf>
    <xf numFmtId="3" fontId="102" fillId="0" borderId="10" xfId="0" applyNumberFormat="1" applyFont="1" applyBorder="1" applyAlignment="1" applyProtection="1">
      <alignment vertical="center" wrapText="1"/>
    </xf>
    <xf numFmtId="43" fontId="102" fillId="0" borderId="0" xfId="0" applyNumberFormat="1" applyFont="1" applyAlignment="1" applyProtection="1">
      <alignment horizontal="right"/>
    </xf>
    <xf numFmtId="43" fontId="83" fillId="0" borderId="0" xfId="0" applyNumberFormat="1" applyFont="1" applyAlignment="1" applyProtection="1">
      <alignment horizontal="center"/>
    </xf>
    <xf numFmtId="43" fontId="102" fillId="0" borderId="0" xfId="0" applyNumberFormat="1" applyFont="1" applyProtection="1"/>
    <xf numFmtId="166" fontId="102" fillId="0" borderId="0" xfId="28" applyNumberFormat="1" applyFont="1" applyAlignment="1" applyProtection="1">
      <alignment horizontal="left"/>
    </xf>
    <xf numFmtId="0" fontId="40" fillId="0" borderId="0" xfId="0" applyFont="1" applyFill="1" applyBorder="1" applyAlignment="1" applyProtection="1">
      <alignment horizontal="center" vertical="center"/>
    </xf>
    <xf numFmtId="3" fontId="0" fillId="0" borderId="0" xfId="0" applyNumberFormat="1" applyBorder="1" applyProtection="1"/>
    <xf numFmtId="0" fontId="81" fillId="0" borderId="10" xfId="0" applyFont="1" applyBorder="1" applyAlignment="1" applyProtection="1">
      <alignment horizontal="center" vertical="center" wrapText="1"/>
      <protection locked="0"/>
    </xf>
    <xf numFmtId="0" fontId="0" fillId="0" borderId="0" xfId="0" applyAlignment="1">
      <alignment vertical="center"/>
    </xf>
    <xf numFmtId="3" fontId="0" fillId="0" borderId="0" xfId="0" applyNumberFormat="1" applyFill="1" applyBorder="1" applyAlignment="1">
      <alignment horizontal="centerContinuous"/>
    </xf>
    <xf numFmtId="0" fontId="137" fillId="0" borderId="0" xfId="0" applyFont="1" applyProtection="1"/>
    <xf numFmtId="0" fontId="101" fillId="0" borderId="0" xfId="0" applyFont="1" applyAlignment="1" applyProtection="1">
      <alignment horizontal="right"/>
      <protection locked="0"/>
    </xf>
    <xf numFmtId="0" fontId="137" fillId="0" borderId="0" xfId="0" applyFont="1" applyAlignment="1" applyProtection="1">
      <alignment horizontal="center"/>
    </xf>
    <xf numFmtId="0" fontId="137" fillId="0" borderId="0" xfId="0" applyFont="1" applyFill="1" applyAlignment="1">
      <alignment horizontal="center"/>
    </xf>
    <xf numFmtId="0" fontId="137" fillId="0" borderId="0" xfId="0" applyFont="1" applyFill="1"/>
    <xf numFmtId="0" fontId="137" fillId="0" borderId="0" xfId="0" applyFont="1"/>
    <xf numFmtId="49" fontId="15" fillId="0" borderId="0" xfId="0" applyNumberFormat="1" applyFont="1" applyAlignment="1">
      <alignment horizontal="left"/>
    </xf>
    <xf numFmtId="0" fontId="33" fillId="27" borderId="10" xfId="0" applyFont="1" applyFill="1" applyBorder="1" applyAlignment="1">
      <alignment horizontal="left" vertical="center" wrapText="1"/>
    </xf>
    <xf numFmtId="15" fontId="81" fillId="0" borderId="10" xfId="0" applyNumberFormat="1" applyFont="1" applyBorder="1" applyAlignment="1" applyProtection="1">
      <alignment horizontal="left" vertical="center" wrapText="1"/>
      <protection locked="0"/>
    </xf>
    <xf numFmtId="15" fontId="0" fillId="0" borderId="10" xfId="0" applyNumberFormat="1" applyBorder="1" applyAlignment="1" applyProtection="1">
      <alignment horizontal="left" vertical="top"/>
      <protection locked="0"/>
    </xf>
    <xf numFmtId="0" fontId="0" fillId="0" borderId="0" xfId="0" applyAlignment="1" applyProtection="1">
      <alignment horizontal="left"/>
      <protection locked="0"/>
    </xf>
    <xf numFmtId="0" fontId="81" fillId="0" borderId="10" xfId="0" applyFont="1" applyBorder="1" applyAlignment="1" applyProtection="1">
      <alignment vertical="center" wrapText="1"/>
      <protection locked="0"/>
    </xf>
    <xf numFmtId="15" fontId="0" fillId="39" borderId="10" xfId="0" applyNumberFormat="1" applyFill="1" applyBorder="1" applyAlignment="1" applyProtection="1">
      <alignment horizontal="left" vertical="top"/>
      <protection locked="0"/>
    </xf>
    <xf numFmtId="0" fontId="81" fillId="39" borderId="10" xfId="0" applyFont="1" applyFill="1" applyBorder="1" applyAlignment="1" applyProtection="1">
      <alignment horizontal="center" vertical="top" wrapText="1"/>
      <protection locked="0"/>
    </xf>
    <xf numFmtId="0" fontId="81" fillId="39" borderId="10" xfId="0" applyFont="1" applyFill="1" applyBorder="1" applyAlignment="1" applyProtection="1">
      <alignment vertical="top" wrapText="1"/>
      <protection locked="0"/>
    </xf>
    <xf numFmtId="3" fontId="137" fillId="0" borderId="10" xfId="0" applyNumberFormat="1" applyFont="1" applyBorder="1" applyAlignment="1" applyProtection="1">
      <alignment horizontal="right" wrapText="1"/>
    </xf>
    <xf numFmtId="1" fontId="29" fillId="0" borderId="10" xfId="0" applyNumberFormat="1" applyFont="1" applyBorder="1" applyAlignment="1" applyProtection="1">
      <alignment vertical="center" wrapText="1"/>
    </xf>
    <xf numFmtId="1" fontId="33" fillId="25" borderId="55" xfId="0" applyNumberFormat="1" applyFont="1" applyFill="1" applyBorder="1" applyAlignment="1" applyProtection="1">
      <alignment horizontal="centerContinuous"/>
    </xf>
    <xf numFmtId="15" fontId="1" fillId="0" borderId="10" xfId="59" applyNumberFormat="1" applyFont="1" applyFill="1" applyBorder="1" applyAlignment="1" applyProtection="1">
      <alignment horizontal="left"/>
      <protection locked="0"/>
    </xf>
    <xf numFmtId="1" fontId="68" fillId="22" borderId="10" xfId="0" applyNumberFormat="1" applyFont="1" applyFill="1" applyBorder="1" applyAlignment="1" applyProtection="1">
      <alignment vertical="center"/>
      <protection locked="0"/>
    </xf>
    <xf numFmtId="43" fontId="0" fillId="0" borderId="0" xfId="28" applyFont="1" applyProtection="1"/>
    <xf numFmtId="166" fontId="68" fillId="22" borderId="10" xfId="28" applyNumberFormat="1" applyFont="1" applyFill="1" applyBorder="1" applyAlignment="1" applyProtection="1">
      <alignment vertical="center"/>
      <protection locked="0"/>
    </xf>
    <xf numFmtId="0" fontId="97" fillId="0" borderId="0" xfId="0" applyFont="1" applyAlignment="1" applyProtection="1">
      <alignment horizontal="right"/>
    </xf>
    <xf numFmtId="43" fontId="1" fillId="25" borderId="84" xfId="28" applyFont="1" applyFill="1" applyBorder="1" applyProtection="1">
      <protection locked="0"/>
    </xf>
    <xf numFmtId="43" fontId="2" fillId="25" borderId="79" xfId="28" applyFont="1" applyFill="1" applyBorder="1" applyAlignment="1" applyProtection="1">
      <protection locked="0"/>
    </xf>
    <xf numFmtId="43" fontId="2" fillId="25" borderId="84" xfId="28" applyFont="1" applyFill="1" applyBorder="1" applyProtection="1">
      <protection locked="0"/>
    </xf>
    <xf numFmtId="43" fontId="22" fillId="25" borderId="10" xfId="28" applyFont="1" applyFill="1" applyBorder="1" applyAlignment="1" applyProtection="1">
      <protection locked="0"/>
    </xf>
    <xf numFmtId="43" fontId="7" fillId="0" borderId="75" xfId="28" applyFont="1" applyFill="1" applyBorder="1" applyAlignment="1" applyProtection="1"/>
    <xf numFmtId="0" fontId="0" fillId="0" borderId="0" xfId="0" applyAlignment="1" applyProtection="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166" fontId="1" fillId="25" borderId="84" xfId="28" applyNumberFormat="1" applyFont="1" applyFill="1" applyBorder="1" applyProtection="1">
      <protection locked="0"/>
    </xf>
    <xf numFmtId="166" fontId="1" fillId="25" borderId="79" xfId="28" applyNumberFormat="1" applyFont="1" applyFill="1" applyBorder="1" applyAlignment="1" applyProtection="1">
      <protection locked="0"/>
    </xf>
    <xf numFmtId="166" fontId="1" fillId="25" borderId="79" xfId="28" applyNumberFormat="1" applyFont="1" applyFill="1" applyBorder="1" applyProtection="1">
      <protection locked="0"/>
    </xf>
    <xf numFmtId="166" fontId="2" fillId="25" borderId="79" xfId="28" applyNumberFormat="1" applyFont="1" applyFill="1" applyBorder="1" applyAlignment="1" applyProtection="1">
      <protection locked="0"/>
    </xf>
    <xf numFmtId="166" fontId="0" fillId="0" borderId="86" xfId="28" applyNumberFormat="1" applyFont="1" applyBorder="1" applyProtection="1"/>
    <xf numFmtId="0" fontId="0" fillId="0" borderId="0" xfId="0" applyAlignment="1" applyProtection="1">
      <alignment horizontal="right"/>
    </xf>
    <xf numFmtId="3" fontId="0" fillId="41" borderId="10" xfId="0" applyNumberFormat="1" applyFill="1" applyBorder="1" applyAlignment="1" applyProtection="1">
      <alignment horizontal="right" wrapText="1"/>
    </xf>
    <xf numFmtId="6" fontId="0" fillId="0" borderId="0" xfId="0" applyNumberFormat="1" applyAlignment="1">
      <alignment vertical="center"/>
    </xf>
    <xf numFmtId="0" fontId="140" fillId="0" borderId="0" xfId="0" applyFont="1" applyProtection="1"/>
    <xf numFmtId="3" fontId="140" fillId="0" borderId="0" xfId="0" applyNumberFormat="1" applyFont="1" applyProtection="1"/>
    <xf numFmtId="3" fontId="143" fillId="20" borderId="0" xfId="0" applyNumberFormat="1" applyFont="1" applyFill="1" applyProtection="1"/>
    <xf numFmtId="164" fontId="143" fillId="20" borderId="0" xfId="0" applyNumberFormat="1" applyFont="1" applyFill="1" applyProtection="1"/>
    <xf numFmtId="166" fontId="143" fillId="20" borderId="0" xfId="0" applyNumberFormat="1" applyFont="1" applyFill="1"/>
    <xf numFmtId="0" fontId="143" fillId="20" borderId="0" xfId="0" applyFont="1" applyFill="1"/>
    <xf numFmtId="0" fontId="140" fillId="0" borderId="0" xfId="0" applyFont="1"/>
    <xf numFmtId="0" fontId="140" fillId="0" borderId="0" xfId="0" applyFont="1" applyFill="1"/>
    <xf numFmtId="49" fontId="141" fillId="0" borderId="236" xfId="0" applyNumberFormat="1" applyFont="1" applyFill="1" applyBorder="1" applyAlignment="1" applyProtection="1">
      <alignment wrapText="1"/>
      <protection locked="0"/>
    </xf>
    <xf numFmtId="0" fontId="97" fillId="40" borderId="0" xfId="0" applyFont="1" applyFill="1" applyBorder="1" applyAlignment="1" applyProtection="1">
      <alignment horizontal="center"/>
    </xf>
    <xf numFmtId="0" fontId="7" fillId="40" borderId="112" xfId="0" applyFont="1" applyFill="1" applyBorder="1" applyAlignment="1" applyProtection="1">
      <alignment horizontal="center" vertical="center"/>
    </xf>
    <xf numFmtId="0" fontId="0" fillId="40" borderId="0" xfId="0" applyFill="1" applyProtection="1"/>
    <xf numFmtId="9" fontId="97" fillId="40" borderId="0" xfId="57" applyFont="1" applyFill="1" applyBorder="1" applyAlignment="1" applyProtection="1">
      <alignment horizontal="center"/>
    </xf>
    <xf numFmtId="9" fontId="0" fillId="40" borderId="112" xfId="57" applyFont="1" applyFill="1" applyBorder="1" applyAlignment="1" applyProtection="1">
      <alignment wrapText="1"/>
      <protection locked="0"/>
    </xf>
    <xf numFmtId="9" fontId="0" fillId="40" borderId="0" xfId="57" applyFont="1" applyFill="1" applyProtection="1"/>
    <xf numFmtId="43" fontId="97" fillId="40" borderId="0" xfId="28" applyFont="1" applyFill="1" applyBorder="1" applyAlignment="1" applyProtection="1">
      <alignment horizontal="center"/>
    </xf>
    <xf numFmtId="0" fontId="0" fillId="40" borderId="107" xfId="0" applyFill="1" applyBorder="1" applyProtection="1">
      <protection locked="0"/>
    </xf>
    <xf numFmtId="0" fontId="0" fillId="40" borderId="0" xfId="0" applyFill="1" applyBorder="1" applyProtection="1"/>
    <xf numFmtId="3" fontId="140" fillId="40" borderId="0" xfId="0" applyNumberFormat="1" applyFont="1" applyFill="1" applyProtection="1"/>
    <xf numFmtId="9" fontId="140" fillId="40" borderId="0" xfId="57" applyFont="1" applyFill="1" applyProtection="1"/>
    <xf numFmtId="3" fontId="142" fillId="40" borderId="0" xfId="0" applyNumberFormat="1" applyFont="1" applyFill="1" applyAlignment="1" applyProtection="1">
      <alignment horizontal="right"/>
    </xf>
    <xf numFmtId="166" fontId="0" fillId="40" borderId="0" xfId="0" applyNumberFormat="1" applyFill="1" applyProtection="1"/>
    <xf numFmtId="176" fontId="0" fillId="40" borderId="0" xfId="0" applyNumberFormat="1" applyFill="1" applyProtection="1"/>
    <xf numFmtId="43" fontId="18" fillId="30" borderId="0" xfId="40" applyFont="1" applyFill="1" applyBorder="1" applyAlignment="1">
      <alignment horizontal="center" vertical="center"/>
    </xf>
    <xf numFmtId="43" fontId="34" fillId="0" borderId="0" xfId="0" applyNumberFormat="1" applyFont="1" applyAlignment="1">
      <alignment horizontal="center"/>
    </xf>
    <xf numFmtId="0" fontId="0" fillId="0" borderId="0" xfId="0" applyAlignment="1"/>
    <xf numFmtId="0" fontId="118" fillId="0" borderId="0" xfId="0" applyFont="1" applyAlignment="1">
      <alignment horizontal="center"/>
    </xf>
    <xf numFmtId="0" fontId="119" fillId="0" borderId="0" xfId="0" applyFont="1" applyAlignment="1">
      <alignment horizontal="center"/>
    </xf>
    <xf numFmtId="0" fontId="29" fillId="0" borderId="29"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110" xfId="0" applyFont="1" applyBorder="1" applyAlignment="1">
      <alignment horizontal="center" vertical="center" wrapText="1"/>
    </xf>
    <xf numFmtId="0" fontId="87" fillId="0" borderId="0" xfId="0" applyFont="1" applyAlignment="1">
      <alignment horizontal="left"/>
    </xf>
    <xf numFmtId="0" fontId="37" fillId="27" borderId="29" xfId="0" applyFont="1" applyFill="1" applyBorder="1" applyAlignment="1">
      <alignment horizontal="center" vertical="center" wrapText="1"/>
    </xf>
    <xf numFmtId="0" fontId="37" fillId="27" borderId="109" xfId="0" applyFont="1" applyFill="1" applyBorder="1" applyAlignment="1">
      <alignment horizontal="center" vertical="center"/>
    </xf>
    <xf numFmtId="0" fontId="37" fillId="27" borderId="110" xfId="0" applyFont="1" applyFill="1" applyBorder="1" applyAlignment="1">
      <alignment horizontal="center" vertical="center"/>
    </xf>
    <xf numFmtId="0" fontId="33" fillId="27" borderId="29" xfId="0" applyFont="1" applyFill="1" applyBorder="1" applyAlignment="1">
      <alignment horizontal="center" vertical="center"/>
    </xf>
    <xf numFmtId="0" fontId="37" fillId="27" borderId="29" xfId="0" applyFont="1" applyFill="1" applyBorder="1" applyAlignment="1">
      <alignment horizontal="center" vertical="center"/>
    </xf>
    <xf numFmtId="0" fontId="33" fillId="0" borderId="29"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0" fontId="37" fillId="27" borderId="29" xfId="0" applyFont="1" applyFill="1" applyBorder="1" applyAlignment="1">
      <alignment horizontal="center"/>
    </xf>
    <xf numFmtId="0" fontId="37" fillId="27" borderId="109" xfId="0" applyFont="1" applyFill="1" applyBorder="1" applyAlignment="1">
      <alignment horizontal="center"/>
    </xf>
    <xf numFmtId="0" fontId="37" fillId="27" borderId="110" xfId="0" applyFont="1" applyFill="1" applyBorder="1" applyAlignment="1">
      <alignment horizontal="center"/>
    </xf>
    <xf numFmtId="0" fontId="78" fillId="0" borderId="29" xfId="0" applyFont="1" applyFill="1" applyBorder="1" applyAlignment="1" applyProtection="1">
      <alignment vertical="center" wrapText="1"/>
      <protection locked="0"/>
    </xf>
    <xf numFmtId="0" fontId="78" fillId="0" borderId="109" xfId="0" applyFont="1" applyFill="1" applyBorder="1" applyAlignment="1" applyProtection="1">
      <alignment vertical="center" wrapText="1"/>
      <protection locked="0"/>
    </xf>
    <xf numFmtId="0" fontId="78" fillId="0" borderId="110" xfId="0" applyFont="1" applyFill="1" applyBorder="1" applyAlignment="1" applyProtection="1">
      <alignment vertical="center" wrapText="1"/>
      <protection locked="0"/>
    </xf>
    <xf numFmtId="0" fontId="81" fillId="0" borderId="29" xfId="0" applyFont="1" applyBorder="1" applyAlignment="1" applyProtection="1">
      <alignment horizontal="justify" vertical="center" wrapText="1"/>
      <protection locked="0"/>
    </xf>
    <xf numFmtId="0" fontId="82" fillId="0" borderId="109" xfId="0" applyFont="1" applyBorder="1" applyAlignment="1" applyProtection="1">
      <alignment horizontal="justify" vertical="center" wrapText="1"/>
      <protection locked="0"/>
    </xf>
    <xf numFmtId="0" fontId="82" fillId="0" borderId="110" xfId="0" applyFont="1" applyBorder="1" applyAlignment="1" applyProtection="1">
      <alignment horizontal="justify" vertical="center" wrapText="1"/>
      <protection locked="0"/>
    </xf>
    <xf numFmtId="0" fontId="81" fillId="0" borderId="29"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2" fillId="27" borderId="29" xfId="0" applyFont="1" applyFill="1" applyBorder="1" applyAlignment="1">
      <alignment vertical="center" wrapText="1"/>
    </xf>
    <xf numFmtId="0" fontId="82" fillId="27" borderId="109" xfId="0" applyFont="1" applyFill="1" applyBorder="1" applyAlignment="1">
      <alignment vertical="center" wrapText="1"/>
    </xf>
    <xf numFmtId="0" fontId="82" fillId="27" borderId="110" xfId="0" applyFont="1" applyFill="1" applyBorder="1" applyAlignment="1">
      <alignment vertical="center" wrapText="1"/>
    </xf>
    <xf numFmtId="0" fontId="82" fillId="0" borderId="10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2" fillId="0" borderId="29" xfId="0" applyFont="1" applyBorder="1" applyAlignment="1" applyProtection="1">
      <alignment vertical="center" wrapText="1"/>
      <protection locked="0"/>
    </xf>
    <xf numFmtId="0" fontId="82" fillId="0" borderId="109" xfId="0" applyFont="1" applyBorder="1" applyAlignment="1" applyProtection="1">
      <alignment vertical="center" wrapText="1"/>
      <protection locked="0"/>
    </xf>
    <xf numFmtId="0" fontId="82" fillId="0" borderId="110" xfId="0" applyFont="1" applyBorder="1" applyAlignment="1" applyProtection="1">
      <alignment vertical="center" wrapText="1"/>
      <protection locked="0"/>
    </xf>
    <xf numFmtId="0" fontId="82" fillId="40" borderId="29" xfId="0" applyFont="1" applyFill="1" applyBorder="1" applyAlignment="1" applyProtection="1">
      <alignment vertical="center" wrapText="1"/>
      <protection locked="0"/>
    </xf>
    <xf numFmtId="0" fontId="82" fillId="40" borderId="109" xfId="0" applyFont="1" applyFill="1" applyBorder="1" applyAlignment="1" applyProtection="1">
      <alignment vertical="center" wrapText="1"/>
      <protection locked="0"/>
    </xf>
    <xf numFmtId="0" fontId="82" fillId="40" borderId="110" xfId="0" applyFont="1" applyFill="1" applyBorder="1" applyAlignment="1" applyProtection="1">
      <alignment vertical="center" wrapText="1"/>
      <protection locked="0"/>
    </xf>
    <xf numFmtId="0" fontId="82" fillId="0" borderId="29" xfId="0" applyFont="1" applyBorder="1" applyAlignment="1">
      <alignment horizontal="left" vertical="center" wrapText="1"/>
    </xf>
    <xf numFmtId="0" fontId="82" fillId="0" borderId="109" xfId="0" applyFont="1" applyBorder="1" applyAlignment="1">
      <alignment horizontal="left" vertical="center" wrapText="1"/>
    </xf>
    <xf numFmtId="0" fontId="82" fillId="0" borderId="110" xfId="0" applyFont="1" applyBorder="1" applyAlignment="1">
      <alignment horizontal="left" vertical="center" wrapText="1"/>
    </xf>
    <xf numFmtId="0" fontId="82" fillId="0" borderId="114" xfId="0"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0" fontId="81" fillId="0" borderId="114" xfId="0" applyFont="1" applyBorder="1" applyAlignment="1">
      <alignment horizontal="left" vertical="center" wrapText="1"/>
    </xf>
    <xf numFmtId="0" fontId="81" fillId="0" borderId="115" xfId="0" applyFont="1" applyBorder="1" applyAlignment="1">
      <alignment horizontal="left" vertical="center" wrapText="1"/>
    </xf>
    <xf numFmtId="0" fontId="81" fillId="0" borderId="116" xfId="0" applyFont="1" applyBorder="1" applyAlignment="1">
      <alignment horizontal="left" vertical="center" wrapText="1"/>
    </xf>
    <xf numFmtId="0" fontId="81" fillId="0" borderId="29" xfId="0" applyFont="1" applyBorder="1" applyAlignment="1">
      <alignment horizontal="left" vertical="center" wrapText="1"/>
    </xf>
    <xf numFmtId="0" fontId="81" fillId="0" borderId="109" xfId="0" applyFont="1" applyBorder="1" applyAlignment="1">
      <alignment horizontal="left" vertical="center" wrapText="1"/>
    </xf>
    <xf numFmtId="0" fontId="81" fillId="0" borderId="110" xfId="0" applyFont="1" applyBorder="1" applyAlignment="1">
      <alignment horizontal="left" vertical="center" wrapText="1"/>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3" fillId="0" borderId="29" xfId="0" applyFont="1" applyBorder="1" applyAlignment="1">
      <alignment horizontal="left" vertical="center" wrapText="1"/>
    </xf>
    <xf numFmtId="0" fontId="122" fillId="0" borderId="109" xfId="0" applyFont="1" applyBorder="1" applyAlignment="1">
      <alignment horizontal="left" vertical="center" wrapText="1"/>
    </xf>
    <xf numFmtId="0" fontId="122" fillId="0" borderId="110" xfId="0" applyFont="1" applyBorder="1" applyAlignment="1">
      <alignment horizontal="left" vertical="center" wrapText="1"/>
    </xf>
    <xf numFmtId="0" fontId="82" fillId="24" borderId="29" xfId="0" applyFont="1" applyFill="1" applyBorder="1" applyAlignment="1">
      <alignment horizontal="center"/>
    </xf>
    <xf numFmtId="0" fontId="82" fillId="24" borderId="109" xfId="0" applyFont="1" applyFill="1" applyBorder="1" applyAlignment="1">
      <alignment horizontal="center"/>
    </xf>
    <xf numFmtId="0" fontId="82" fillId="24" borderId="110" xfId="0" applyFont="1" applyFill="1" applyBorder="1" applyAlignment="1">
      <alignment horizontal="center"/>
    </xf>
    <xf numFmtId="0" fontId="82" fillId="0" borderId="66" xfId="0" applyFont="1" applyBorder="1" applyAlignment="1">
      <alignment horizontal="left" vertical="center" wrapText="1"/>
    </xf>
    <xf numFmtId="0" fontId="82" fillId="0" borderId="104" xfId="0" applyFont="1" applyBorder="1" applyAlignment="1">
      <alignment horizontal="left" vertical="center" wrapText="1"/>
    </xf>
    <xf numFmtId="0" fontId="82" fillId="0" borderId="106" xfId="0" applyFont="1" applyBorder="1" applyAlignment="1">
      <alignment horizontal="left" vertical="center" wrapText="1"/>
    </xf>
    <xf numFmtId="0" fontId="81" fillId="40" borderId="29" xfId="0" applyFont="1" applyFill="1" applyBorder="1" applyAlignment="1" applyProtection="1">
      <alignment horizontal="justify" vertical="center" wrapText="1"/>
      <protection locked="0"/>
    </xf>
    <xf numFmtId="0" fontId="82" fillId="40" borderId="109" xfId="0" applyFont="1" applyFill="1" applyBorder="1" applyAlignment="1" applyProtection="1">
      <alignment horizontal="justify" vertical="center" wrapText="1"/>
      <protection locked="0"/>
    </xf>
    <xf numFmtId="0" fontId="82" fillId="40" borderId="110" xfId="0" applyFont="1" applyFill="1" applyBorder="1" applyAlignment="1" applyProtection="1">
      <alignment horizontal="justify" vertical="center" wrapText="1"/>
      <protection locked="0"/>
    </xf>
    <xf numFmtId="0" fontId="0" fillId="0" borderId="29" xfId="0" applyBorder="1" applyAlignment="1">
      <alignment horizontal="left" vertical="top" wrapText="1"/>
    </xf>
    <xf numFmtId="0" fontId="0" fillId="0" borderId="109" xfId="0" applyBorder="1" applyAlignment="1">
      <alignment horizontal="left" vertical="top" wrapText="1"/>
    </xf>
    <xf numFmtId="0" fontId="0" fillId="0" borderId="110" xfId="0" applyBorder="1" applyAlignment="1">
      <alignment horizontal="left" vertical="top" wrapText="1"/>
    </xf>
    <xf numFmtId="0" fontId="81" fillId="0" borderId="29" xfId="0" applyNumberFormat="1" applyFont="1" applyBorder="1" applyAlignment="1" applyProtection="1">
      <alignment horizontal="left" vertical="center" wrapText="1"/>
      <protection locked="0"/>
    </xf>
    <xf numFmtId="0" fontId="81" fillId="0" borderId="109" xfId="0" applyNumberFormat="1" applyFont="1" applyBorder="1" applyAlignment="1" applyProtection="1">
      <alignment horizontal="left" vertical="center" wrapText="1"/>
      <protection locked="0"/>
    </xf>
    <xf numFmtId="0" fontId="81" fillId="0" borderId="110" xfId="0" applyNumberFormat="1" applyFont="1" applyBorder="1" applyAlignment="1" applyProtection="1">
      <alignment horizontal="left" vertical="center" wrapText="1"/>
      <protection locked="0"/>
    </xf>
    <xf numFmtId="0" fontId="29" fillId="0" borderId="0" xfId="0" applyFont="1" applyBorder="1" applyAlignment="1">
      <alignment horizontal="left"/>
    </xf>
    <xf numFmtId="43" fontId="82" fillId="0" borderId="29" xfId="0" applyNumberFormat="1" applyFont="1" applyBorder="1" applyAlignment="1">
      <alignment horizontal="left" vertical="center" wrapText="1"/>
    </xf>
    <xf numFmtId="0" fontId="82" fillId="0" borderId="109" xfId="0" applyFont="1" applyBorder="1" applyAlignment="1">
      <alignment horizontal="left" vertical="center"/>
    </xf>
    <xf numFmtId="0" fontId="82" fillId="0" borderId="110" xfId="0" applyFont="1" applyBorder="1" applyAlignment="1">
      <alignment horizontal="left" vertical="center"/>
    </xf>
    <xf numFmtId="0" fontId="81" fillId="0" borderId="29" xfId="0" applyFont="1" applyBorder="1" applyAlignment="1" applyProtection="1">
      <alignment horizontal="left" vertical="top" wrapText="1"/>
      <protection locked="0"/>
    </xf>
    <xf numFmtId="0" fontId="81" fillId="0" borderId="109" xfId="0" applyFont="1" applyBorder="1" applyAlignment="1" applyProtection="1">
      <alignment horizontal="left" vertical="top" wrapText="1"/>
      <protection locked="0"/>
    </xf>
    <xf numFmtId="0" fontId="81" fillId="0" borderId="110" xfId="0" applyFont="1" applyBorder="1" applyAlignment="1" applyProtection="1">
      <alignment horizontal="left" vertical="top" wrapText="1"/>
      <protection locked="0"/>
    </xf>
    <xf numFmtId="0" fontId="81" fillId="40" borderId="29" xfId="0" applyFont="1" applyFill="1" applyBorder="1" applyAlignment="1" applyProtection="1">
      <alignment horizontal="left" vertical="center" wrapText="1"/>
      <protection locked="0"/>
    </xf>
    <xf numFmtId="0" fontId="81" fillId="40" borderId="109" xfId="0" applyFont="1" applyFill="1" applyBorder="1" applyAlignment="1" applyProtection="1">
      <alignment horizontal="left" vertical="center" wrapText="1"/>
      <protection locked="0"/>
    </xf>
    <xf numFmtId="0" fontId="81" fillId="40" borderId="110" xfId="0" applyFont="1" applyFill="1" applyBorder="1" applyAlignment="1" applyProtection="1">
      <alignment horizontal="left" vertical="center" wrapText="1"/>
      <protection locked="0"/>
    </xf>
    <xf numFmtId="43" fontId="82" fillId="0" borderId="114" xfId="0" applyNumberFormat="1" applyFont="1" applyBorder="1" applyAlignment="1">
      <alignment horizontal="left" vertical="center" wrapText="1"/>
    </xf>
    <xf numFmtId="0" fontId="81" fillId="0" borderId="114" xfId="0" applyFont="1" applyBorder="1" applyAlignment="1">
      <alignment horizontal="left" wrapText="1"/>
    </xf>
    <xf numFmtId="0" fontId="81" fillId="0" borderId="115" xfId="0" applyFont="1" applyBorder="1" applyAlignment="1">
      <alignment horizontal="left" wrapText="1"/>
    </xf>
    <xf numFmtId="0" fontId="81" fillId="0" borderId="116" xfId="0" applyFont="1" applyBorder="1" applyAlignment="1">
      <alignment horizontal="left" wrapText="1"/>
    </xf>
    <xf numFmtId="0" fontId="3" fillId="0" borderId="66" xfId="0" applyFont="1" applyBorder="1" applyAlignment="1">
      <alignment horizontal="left" vertical="center" wrapText="1"/>
    </xf>
    <xf numFmtId="0" fontId="3" fillId="0" borderId="104" xfId="0" applyFont="1" applyBorder="1" applyAlignment="1">
      <alignment horizontal="left" vertical="center" wrapText="1"/>
    </xf>
    <xf numFmtId="0" fontId="3" fillId="0" borderId="106" xfId="0" applyFont="1" applyBorder="1" applyAlignment="1">
      <alignment horizontal="left" vertical="center" wrapText="1"/>
    </xf>
    <xf numFmtId="0" fontId="139" fillId="0" borderId="29" xfId="0" applyFont="1" applyBorder="1" applyAlignment="1">
      <alignment horizontal="left" vertical="top" wrapText="1"/>
    </xf>
    <xf numFmtId="0" fontId="139" fillId="0" borderId="109" xfId="0" applyFont="1" applyBorder="1" applyAlignment="1">
      <alignment horizontal="left" vertical="top" wrapText="1"/>
    </xf>
    <xf numFmtId="0" fontId="139" fillId="0" borderId="110" xfId="0" applyFont="1" applyBorder="1" applyAlignment="1">
      <alignment horizontal="left" vertical="top"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43" fontId="18" fillId="31" borderId="0" xfId="48" applyFont="1" applyFill="1" applyAlignment="1" applyProtection="1">
      <alignment horizontal="center" vertical="center"/>
    </xf>
    <xf numFmtId="0" fontId="64" fillId="25" borderId="29" xfId="0" applyFont="1" applyFill="1" applyBorder="1" applyAlignment="1">
      <alignment horizontal="center"/>
    </xf>
    <xf numFmtId="0" fontId="64" fillId="25" borderId="109" xfId="0" applyFont="1" applyFill="1" applyBorder="1" applyAlignment="1">
      <alignment horizontal="center"/>
    </xf>
    <xf numFmtId="0" fontId="64" fillId="25" borderId="110" xfId="0" applyFont="1" applyFill="1" applyBorder="1" applyAlignment="1">
      <alignment horizontal="center"/>
    </xf>
    <xf numFmtId="9" fontId="82" fillId="0" borderId="29" xfId="57" applyFont="1" applyBorder="1" applyAlignment="1">
      <alignment horizontal="left" vertical="center" wrapText="1"/>
    </xf>
    <xf numFmtId="9" fontId="82" fillId="0" borderId="109" xfId="57" applyFont="1" applyBorder="1" applyAlignment="1">
      <alignment horizontal="left" vertical="center" wrapText="1"/>
    </xf>
    <xf numFmtId="9" fontId="82" fillId="0" borderId="110" xfId="57" applyFont="1" applyBorder="1" applyAlignment="1">
      <alignment horizontal="left" vertical="center" wrapText="1"/>
    </xf>
    <xf numFmtId="0" fontId="82" fillId="0" borderId="115" xfId="0" applyFont="1" applyBorder="1" applyAlignment="1">
      <alignment horizontal="left" vertical="center"/>
    </xf>
    <xf numFmtId="0" fontId="82" fillId="0" borderId="116" xfId="0" applyFont="1" applyBorder="1" applyAlignment="1">
      <alignment horizontal="left" vertical="center"/>
    </xf>
    <xf numFmtId="0" fontId="29" fillId="0" borderId="107" xfId="0" applyFont="1" applyBorder="1" applyAlignment="1">
      <alignment horizontal="left"/>
    </xf>
    <xf numFmtId="0" fontId="64" fillId="0" borderId="0" xfId="0" applyFont="1" applyBorder="1" applyAlignment="1">
      <alignment horizontal="left" wrapText="1"/>
    </xf>
    <xf numFmtId="0" fontId="29" fillId="0" borderId="0" xfId="0" applyFont="1" applyBorder="1" applyAlignment="1">
      <alignment horizontal="left" wrapText="1"/>
    </xf>
    <xf numFmtId="0" fontId="29" fillId="0" borderId="107" xfId="0" applyFont="1" applyBorder="1" applyAlignment="1">
      <alignment horizontal="left" wrapText="1"/>
    </xf>
    <xf numFmtId="0" fontId="82" fillId="0" borderId="107" xfId="0" applyFont="1" applyBorder="1" applyAlignment="1">
      <alignment horizontal="left" wrapText="1"/>
    </xf>
    <xf numFmtId="0" fontId="81" fillId="0" borderId="107" xfId="0" applyFont="1" applyBorder="1" applyAlignment="1">
      <alignment horizontal="left" wrapText="1"/>
    </xf>
    <xf numFmtId="0" fontId="82" fillId="0" borderId="66" xfId="0" applyNumberFormat="1" applyFont="1" applyBorder="1" applyAlignment="1">
      <alignment horizontal="left" vertical="center" wrapText="1"/>
    </xf>
    <xf numFmtId="0" fontId="81" fillId="0" borderId="104" xfId="0" applyNumberFormat="1" applyFont="1" applyBorder="1" applyAlignment="1">
      <alignment horizontal="left" vertical="center" wrapText="1"/>
    </xf>
    <xf numFmtId="0" fontId="81" fillId="0" borderId="106" xfId="0" applyNumberFormat="1" applyFont="1" applyBorder="1" applyAlignment="1">
      <alignment horizontal="left" vertical="center" wrapText="1"/>
    </xf>
    <xf numFmtId="0" fontId="0" fillId="19" borderId="144" xfId="0" applyFill="1" applyBorder="1" applyAlignment="1" applyProtection="1">
      <alignment horizontal="center" vertical="center" textRotation="90"/>
    </xf>
    <xf numFmtId="43" fontId="15" fillId="0" borderId="145" xfId="0" applyNumberFormat="1" applyFont="1" applyBorder="1" applyAlignment="1" applyProtection="1">
      <alignment horizontal="center"/>
    </xf>
    <xf numFmtId="0" fontId="15" fillId="0" borderId="146" xfId="0" applyFont="1" applyBorder="1" applyAlignment="1" applyProtection="1">
      <alignment horizontal="center"/>
    </xf>
    <xf numFmtId="0" fontId="15" fillId="0" borderId="147" xfId="0" applyFont="1" applyBorder="1" applyAlignment="1" applyProtection="1">
      <alignment horizontal="center"/>
    </xf>
    <xf numFmtId="49" fontId="3" fillId="32" borderId="117" xfId="0" applyNumberFormat="1" applyFont="1" applyFill="1" applyBorder="1" applyAlignment="1" applyProtection="1">
      <alignment horizontal="left" vertical="center" wrapText="1"/>
      <protection locked="0"/>
    </xf>
    <xf numFmtId="49" fontId="68" fillId="32" borderId="10" xfId="0" applyNumberFormat="1" applyFont="1" applyFill="1" applyBorder="1" applyAlignment="1" applyProtection="1">
      <alignment horizontal="left" vertical="center" wrapText="1"/>
      <protection locked="0"/>
    </xf>
    <xf numFmtId="49" fontId="68" fillId="32" borderId="29" xfId="0" applyNumberFormat="1" applyFont="1" applyFill="1" applyBorder="1" applyAlignment="1" applyProtection="1">
      <alignment horizontal="left" vertical="center" wrapText="1"/>
      <protection locked="0"/>
    </xf>
    <xf numFmtId="49" fontId="68" fillId="32" borderId="117" xfId="0" applyNumberFormat="1" applyFont="1" applyFill="1" applyBorder="1" applyAlignment="1" applyProtection="1">
      <alignment horizontal="left" vertical="center" wrapText="1"/>
      <protection locked="0"/>
    </xf>
    <xf numFmtId="0" fontId="27" fillId="0" borderId="148" xfId="0" applyFont="1" applyBorder="1" applyAlignment="1" applyProtection="1">
      <alignment horizontal="center" wrapText="1"/>
    </xf>
    <xf numFmtId="0" fontId="27" fillId="0" borderId="149" xfId="0" applyFont="1" applyBorder="1" applyAlignment="1" applyProtection="1">
      <alignment horizontal="center" wrapText="1"/>
    </xf>
    <xf numFmtId="0" fontId="27" fillId="0" borderId="150" xfId="0" applyFont="1" applyBorder="1" applyAlignment="1" applyProtection="1">
      <alignment horizontal="center" wrapText="1"/>
    </xf>
    <xf numFmtId="49" fontId="3" fillId="32" borderId="121" xfId="0" applyNumberFormat="1" applyFont="1" applyFill="1" applyBorder="1" applyAlignment="1" applyProtection="1">
      <alignment horizontal="center" vertical="center" wrapText="1"/>
      <protection locked="0"/>
    </xf>
    <xf numFmtId="49" fontId="3" fillId="32" borderId="122" xfId="0" applyNumberFormat="1" applyFont="1" applyFill="1" applyBorder="1" applyAlignment="1" applyProtection="1">
      <alignment horizontal="center" vertical="center" wrapText="1"/>
      <protection locked="0"/>
    </xf>
    <xf numFmtId="49" fontId="3" fillId="32" borderId="117" xfId="0" applyNumberFormat="1" applyFont="1" applyFill="1" applyBorder="1" applyAlignment="1" applyProtection="1">
      <alignment horizontal="center" vertical="center" wrapText="1"/>
      <protection locked="0"/>
    </xf>
    <xf numFmtId="49" fontId="68" fillId="32" borderId="117" xfId="0" applyNumberFormat="1" applyFont="1" applyFill="1" applyBorder="1" applyAlignment="1" applyProtection="1">
      <alignment horizontal="center" vertical="center" wrapText="1"/>
      <protection locked="0"/>
    </xf>
    <xf numFmtId="49" fontId="3" fillId="27" borderId="117" xfId="0" applyNumberFormat="1" applyFont="1" applyFill="1" applyBorder="1" applyAlignment="1" applyProtection="1">
      <alignment horizontal="left" vertical="center" wrapText="1"/>
      <protection locked="0"/>
    </xf>
    <xf numFmtId="49" fontId="68" fillId="27" borderId="10" xfId="0" applyNumberFormat="1" applyFont="1" applyFill="1" applyBorder="1" applyAlignment="1" applyProtection="1">
      <alignment horizontal="left" vertical="center" wrapText="1"/>
      <protection locked="0"/>
    </xf>
    <xf numFmtId="49" fontId="68" fillId="27" borderId="29" xfId="0" applyNumberFormat="1" applyFont="1" applyFill="1" applyBorder="1" applyAlignment="1" applyProtection="1">
      <alignment horizontal="left" vertical="center" wrapText="1"/>
      <protection locked="0"/>
    </xf>
    <xf numFmtId="49" fontId="68" fillId="27" borderId="117" xfId="0" applyNumberFormat="1" applyFont="1" applyFill="1" applyBorder="1" applyAlignment="1" applyProtection="1">
      <alignment horizontal="left" vertical="center" wrapText="1"/>
      <protection locked="0"/>
    </xf>
    <xf numFmtId="49" fontId="15" fillId="0" borderId="25" xfId="0" applyNumberFormat="1" applyFont="1" applyBorder="1" applyAlignment="1" applyProtection="1">
      <alignment horizontal="center"/>
    </xf>
    <xf numFmtId="49" fontId="15" fillId="0" borderId="45" xfId="0" applyNumberFormat="1" applyFont="1" applyBorder="1" applyAlignment="1" applyProtection="1">
      <alignment horizontal="center"/>
    </xf>
    <xf numFmtId="49" fontId="3" fillId="29" borderId="117" xfId="0" applyNumberFormat="1" applyFont="1" applyFill="1" applyBorder="1" applyAlignment="1" applyProtection="1">
      <alignment horizontal="left" vertical="center" wrapText="1"/>
      <protection locked="0"/>
    </xf>
    <xf numFmtId="49" fontId="68" fillId="29" borderId="10" xfId="0" applyNumberFormat="1" applyFont="1" applyFill="1" applyBorder="1" applyAlignment="1" applyProtection="1">
      <alignment horizontal="left" vertical="center" wrapText="1"/>
      <protection locked="0"/>
    </xf>
    <xf numFmtId="49" fontId="68" fillId="29" borderId="29" xfId="0" applyNumberFormat="1" applyFont="1" applyFill="1" applyBorder="1" applyAlignment="1" applyProtection="1">
      <alignment horizontal="left" vertical="center" wrapText="1"/>
      <protection locked="0"/>
    </xf>
    <xf numFmtId="49" fontId="68" fillId="29" borderId="117" xfId="0" applyNumberFormat="1" applyFont="1" applyFill="1" applyBorder="1" applyAlignment="1" applyProtection="1">
      <alignment horizontal="left" vertical="center" wrapText="1"/>
      <protection locked="0"/>
    </xf>
    <xf numFmtId="43" fontId="62" fillId="31" borderId="0" xfId="40" applyFont="1" applyFill="1" applyAlignment="1" applyProtection="1">
      <alignment horizontal="center" vertical="center"/>
    </xf>
    <xf numFmtId="49" fontId="0" fillId="0" borderId="29" xfId="0" applyNumberFormat="1" applyBorder="1" applyAlignment="1" applyProtection="1">
      <alignment horizontal="center"/>
      <protection locked="0"/>
    </xf>
    <xf numFmtId="49" fontId="0" fillId="0" borderId="110" xfId="0" applyNumberFormat="1" applyBorder="1" applyAlignment="1" applyProtection="1">
      <alignment horizontal="center"/>
      <protection locked="0"/>
    </xf>
    <xf numFmtId="0" fontId="107" fillId="0" borderId="0" xfId="0" applyFont="1" applyAlignment="1" applyProtection="1">
      <alignment horizontal="right"/>
    </xf>
    <xf numFmtId="49" fontId="0" fillId="0" borderId="109" xfId="0" applyNumberFormat="1" applyBorder="1" applyAlignment="1" applyProtection="1">
      <alignment horizontal="center"/>
      <protection locked="0"/>
    </xf>
    <xf numFmtId="0" fontId="0" fillId="27" borderId="29" xfId="0" applyFill="1" applyBorder="1" applyAlignment="1" applyProtection="1">
      <alignment horizontal="center"/>
    </xf>
    <xf numFmtId="0" fontId="0" fillId="27" borderId="110" xfId="0" applyFill="1" applyBorder="1" applyAlignment="1" applyProtection="1">
      <alignment horizontal="center"/>
    </xf>
    <xf numFmtId="174" fontId="128" fillId="0" borderId="29" xfId="29" applyNumberFormat="1" applyFont="1" applyBorder="1" applyAlignment="1" applyProtection="1">
      <alignment horizontal="left"/>
      <protection locked="0"/>
    </xf>
    <xf numFmtId="174" fontId="128" fillId="0" borderId="110" xfId="29" applyNumberFormat="1" applyFont="1" applyBorder="1" applyAlignment="1" applyProtection="1">
      <alignment horizontal="left"/>
      <protection locked="0"/>
    </xf>
    <xf numFmtId="0" fontId="107" fillId="0" borderId="0" xfId="0" applyFont="1" applyBorder="1" applyAlignment="1" applyProtection="1">
      <alignment horizontal="right"/>
    </xf>
    <xf numFmtId="0" fontId="107" fillId="0" borderId="140" xfId="0" applyFont="1" applyBorder="1" applyAlignment="1" applyProtection="1">
      <alignment horizontal="right"/>
    </xf>
    <xf numFmtId="0" fontId="78" fillId="0" borderId="141" xfId="0" applyFont="1" applyFill="1" applyBorder="1" applyAlignment="1" applyProtection="1">
      <alignment horizontal="center" vertical="center"/>
    </xf>
    <xf numFmtId="0" fontId="78" fillId="0" borderId="142" xfId="0" applyFont="1" applyFill="1" applyBorder="1" applyAlignment="1" applyProtection="1">
      <alignment horizontal="center" vertical="center"/>
    </xf>
    <xf numFmtId="0" fontId="78" fillId="0" borderId="143" xfId="0" applyFont="1" applyFill="1" applyBorder="1" applyAlignment="1" applyProtection="1">
      <alignment horizontal="center" vertical="center"/>
    </xf>
    <xf numFmtId="49" fontId="0" fillId="0" borderId="29" xfId="0" applyNumberFormat="1" applyBorder="1" applyAlignment="1" applyProtection="1">
      <alignment horizontal="left"/>
      <protection locked="0"/>
    </xf>
    <xf numFmtId="49" fontId="0" fillId="0" borderId="109" xfId="0" applyNumberFormat="1" applyBorder="1" applyAlignment="1" applyProtection="1">
      <alignment horizontal="left"/>
      <protection locked="0"/>
    </xf>
    <xf numFmtId="49" fontId="0" fillId="0" borderId="110" xfId="0" applyNumberFormat="1" applyBorder="1" applyAlignment="1" applyProtection="1">
      <alignment horizontal="left"/>
      <protection locked="0"/>
    </xf>
    <xf numFmtId="0" fontId="107" fillId="0" borderId="48" xfId="0" applyFont="1" applyBorder="1" applyAlignment="1" applyProtection="1">
      <alignment horizontal="right"/>
    </xf>
    <xf numFmtId="15" fontId="116" fillId="0" borderId="10" xfId="59" applyNumberFormat="1" applyFont="1" applyFill="1" applyBorder="1" applyAlignment="1" applyProtection="1">
      <alignment horizontal="center"/>
      <protection locked="0"/>
    </xf>
    <xf numFmtId="15" fontId="134" fillId="0" borderId="10" xfId="59" applyNumberFormat="1" applyFill="1" applyBorder="1" applyAlignment="1" applyProtection="1">
      <alignment horizontal="center"/>
      <protection locked="0"/>
    </xf>
    <xf numFmtId="49" fontId="1" fillId="0" borderId="29" xfId="0" applyNumberFormat="1" applyFont="1" applyBorder="1" applyAlignment="1" applyProtection="1">
      <alignment horizontal="left"/>
      <protection locked="0"/>
    </xf>
    <xf numFmtId="49" fontId="1" fillId="0" borderId="109" xfId="0" applyNumberFormat="1" applyFont="1" applyBorder="1" applyAlignment="1" applyProtection="1">
      <alignment horizontal="left"/>
      <protection locked="0"/>
    </xf>
    <xf numFmtId="49" fontId="1" fillId="0" borderId="110" xfId="0" applyNumberFormat="1" applyFont="1" applyBorder="1" applyAlignment="1" applyProtection="1">
      <alignment horizontal="left"/>
      <protection locked="0"/>
    </xf>
    <xf numFmtId="43" fontId="16" fillId="34" borderId="10" xfId="59" applyFont="1" applyFill="1" applyBorder="1" applyAlignment="1" applyProtection="1">
      <alignment horizontal="center"/>
      <protection locked="0"/>
    </xf>
    <xf numFmtId="49" fontId="68" fillId="29" borderId="110" xfId="0" applyNumberFormat="1" applyFont="1" applyFill="1" applyBorder="1" applyAlignment="1" applyProtection="1">
      <alignment horizontal="center" vertical="center" wrapText="1"/>
      <protection locked="0"/>
    </xf>
    <xf numFmtId="0" fontId="0" fillId="0" borderId="135" xfId="0" applyBorder="1" applyAlignment="1" applyProtection="1">
      <alignment horizontal="center"/>
    </xf>
    <xf numFmtId="0" fontId="0" fillId="0" borderId="21" xfId="0" applyBorder="1" applyAlignment="1" applyProtection="1">
      <alignment horizontal="center"/>
    </xf>
    <xf numFmtId="0" fontId="85" fillId="0" borderId="136" xfId="0" applyFont="1" applyBorder="1" applyAlignment="1" applyProtection="1">
      <alignment horizontal="right"/>
    </xf>
    <xf numFmtId="0" fontId="112" fillId="0" borderId="136" xfId="0" applyFont="1" applyBorder="1" applyAlignment="1"/>
    <xf numFmtId="0" fontId="0" fillId="0" borderId="137" xfId="0" applyFill="1" applyBorder="1" applyAlignment="1" applyProtection="1">
      <alignment horizontal="center" vertical="center"/>
      <protection locked="0"/>
    </xf>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49" fontId="3" fillId="29" borderId="110" xfId="0" applyNumberFormat="1" applyFont="1" applyFill="1" applyBorder="1" applyAlignment="1" applyProtection="1">
      <alignment horizontal="center" vertical="center" wrapText="1"/>
      <protection locked="0"/>
    </xf>
    <xf numFmtId="0" fontId="68" fillId="29" borderId="123" xfId="0" applyNumberFormat="1" applyFont="1" applyFill="1" applyBorder="1" applyAlignment="1" applyProtection="1">
      <alignment horizontal="center" vertical="center" wrapText="1"/>
      <protection locked="0"/>
    </xf>
    <xf numFmtId="49" fontId="15" fillId="0" borderId="23" xfId="0" applyNumberFormat="1" applyFont="1" applyBorder="1" applyAlignment="1" applyProtection="1">
      <alignment horizontal="center"/>
    </xf>
    <xf numFmtId="49" fontId="15" fillId="0" borderId="10" xfId="0" applyNumberFormat="1" applyFont="1" applyBorder="1" applyAlignment="1" applyProtection="1">
      <alignment horizontal="center"/>
    </xf>
    <xf numFmtId="0" fontId="68" fillId="0" borderId="110" xfId="0" applyFont="1" applyFill="1" applyBorder="1" applyAlignment="1" applyProtection="1">
      <alignment horizontal="center" vertical="center" wrapText="1"/>
    </xf>
    <xf numFmtId="0" fontId="68" fillId="0" borderId="123" xfId="0" applyFont="1" applyFill="1" applyBorder="1" applyAlignment="1" applyProtection="1">
      <alignment horizontal="center" vertical="center" wrapText="1"/>
    </xf>
    <xf numFmtId="49" fontId="68" fillId="32" borderId="121" xfId="0" applyNumberFormat="1" applyFont="1" applyFill="1" applyBorder="1" applyAlignment="1" applyProtection="1">
      <alignment horizontal="center" vertical="center" wrapText="1"/>
      <protection locked="0"/>
    </xf>
    <xf numFmtId="49" fontId="68" fillId="32" borderId="122" xfId="0" applyNumberFormat="1" applyFont="1" applyFill="1" applyBorder="1" applyAlignment="1" applyProtection="1">
      <alignment horizontal="center" vertical="center" wrapText="1"/>
      <protection locked="0"/>
    </xf>
    <xf numFmtId="0" fontId="68" fillId="29" borderId="133" xfId="0" applyNumberFormat="1" applyFont="1" applyFill="1" applyBorder="1" applyAlignment="1" applyProtection="1">
      <alignment horizontal="center" vertical="center" wrapText="1"/>
      <protection locked="0"/>
    </xf>
    <xf numFmtId="49" fontId="68" fillId="29" borderId="134" xfId="0" applyNumberFormat="1" applyFont="1" applyFill="1" applyBorder="1" applyAlignment="1" applyProtection="1">
      <alignment horizontal="center" vertical="center" wrapText="1"/>
      <protection locked="0"/>
    </xf>
    <xf numFmtId="0" fontId="68" fillId="0" borderId="127" xfId="0" applyFont="1" applyFill="1" applyBorder="1" applyAlignment="1" applyProtection="1">
      <alignment horizontal="left" vertical="center" wrapText="1"/>
    </xf>
    <xf numFmtId="0" fontId="68" fillId="0" borderId="109" xfId="0" applyFont="1" applyFill="1" applyBorder="1" applyAlignment="1" applyProtection="1">
      <alignment horizontal="left" vertical="center" wrapText="1"/>
    </xf>
    <xf numFmtId="0" fontId="68" fillId="0" borderId="128" xfId="0" applyFont="1" applyFill="1" applyBorder="1" applyAlignment="1" applyProtection="1">
      <alignment horizontal="left" vertical="center" wrapText="1"/>
    </xf>
    <xf numFmtId="0" fontId="68" fillId="0" borderId="129" xfId="0" applyFont="1" applyFill="1" applyBorder="1" applyAlignment="1" applyProtection="1">
      <alignment horizontal="left" vertical="center" wrapText="1"/>
    </xf>
    <xf numFmtId="0" fontId="68" fillId="0" borderId="130" xfId="0" applyFont="1" applyFill="1" applyBorder="1" applyAlignment="1" applyProtection="1">
      <alignment horizontal="left" vertical="center" wrapText="1"/>
    </xf>
    <xf numFmtId="0" fontId="68" fillId="0" borderId="131" xfId="0" applyFont="1" applyFill="1" applyBorder="1" applyAlignment="1" applyProtection="1">
      <alignment horizontal="left" vertical="center" wrapText="1"/>
    </xf>
    <xf numFmtId="49" fontId="68" fillId="29" borderId="132" xfId="0" applyNumberFormat="1" applyFont="1" applyFill="1" applyBorder="1" applyAlignment="1" applyProtection="1">
      <alignment horizontal="left" vertical="center" wrapText="1"/>
      <protection locked="0"/>
    </xf>
    <xf numFmtId="49" fontId="68" fillId="29" borderId="61" xfId="0" applyNumberFormat="1" applyFont="1" applyFill="1" applyBorder="1" applyAlignment="1" applyProtection="1">
      <alignment horizontal="left" vertical="center" wrapText="1"/>
      <protection locked="0"/>
    </xf>
    <xf numFmtId="49" fontId="68" fillId="29" borderId="30" xfId="0" applyNumberFormat="1" applyFont="1" applyFill="1" applyBorder="1" applyAlignment="1" applyProtection="1">
      <alignment horizontal="left" vertical="center" wrapText="1"/>
      <protection locked="0"/>
    </xf>
    <xf numFmtId="9" fontId="34" fillId="0" borderId="118" xfId="57" applyFont="1" applyFill="1" applyBorder="1" applyAlignment="1" applyProtection="1">
      <alignment horizontal="center" vertical="center"/>
    </xf>
    <xf numFmtId="9" fontId="34" fillId="0" borderId="119" xfId="57" applyFont="1" applyFill="1" applyBorder="1" applyAlignment="1" applyProtection="1">
      <alignment horizontal="center" vertical="center"/>
    </xf>
    <xf numFmtId="9" fontId="34" fillId="0" borderId="120" xfId="57" applyFont="1" applyFill="1" applyBorder="1" applyAlignment="1" applyProtection="1">
      <alignment horizontal="center" vertical="center"/>
    </xf>
    <xf numFmtId="0" fontId="0" fillId="33" borderId="124" xfId="0" applyFill="1" applyBorder="1" applyAlignment="1" applyProtection="1">
      <alignment horizontal="center"/>
    </xf>
    <xf numFmtId="0" fontId="0" fillId="33" borderId="125" xfId="0" applyFill="1" applyBorder="1" applyAlignment="1" applyProtection="1">
      <alignment horizontal="center"/>
    </xf>
    <xf numFmtId="0" fontId="0" fillId="33" borderId="126" xfId="0" applyFill="1" applyBorder="1" applyAlignment="1" applyProtection="1">
      <alignment horizontal="center"/>
    </xf>
    <xf numFmtId="43" fontId="100" fillId="31" borderId="0" xfId="40" applyFont="1" applyFill="1" applyAlignment="1" applyProtection="1">
      <alignment horizontal="center" vertical="center"/>
    </xf>
    <xf numFmtId="43" fontId="25" fillId="24" borderId="65" xfId="59" applyFont="1" applyFill="1" applyBorder="1" applyAlignment="1" applyProtection="1">
      <alignment horizontal="left"/>
    </xf>
    <xf numFmtId="43" fontId="34" fillId="24" borderId="0" xfId="51" applyFont="1" applyFill="1" applyAlignment="1" applyProtection="1">
      <alignment horizontal="center" vertical="center" wrapText="1"/>
    </xf>
    <xf numFmtId="173" fontId="25" fillId="24" borderId="65" xfId="59" applyNumberFormat="1" applyFont="1" applyFill="1" applyBorder="1" applyAlignment="1" applyProtection="1">
      <alignment horizontal="left"/>
    </xf>
    <xf numFmtId="43" fontId="2" fillId="0" borderId="65" xfId="59" applyFont="1" applyBorder="1" applyAlignment="1" applyProtection="1">
      <alignment horizontal="right"/>
    </xf>
    <xf numFmtId="43" fontId="2" fillId="0" borderId="65" xfId="59" applyFont="1" applyFill="1" applyBorder="1" applyAlignment="1" applyProtection="1">
      <alignment horizontal="right"/>
    </xf>
    <xf numFmtId="43" fontId="21" fillId="0" borderId="0" xfId="51" applyFont="1" applyFill="1" applyAlignment="1" applyProtection="1">
      <alignment horizontal="right" vertical="center"/>
    </xf>
    <xf numFmtId="43" fontId="25" fillId="24" borderId="0" xfId="51" applyFont="1" applyFill="1" applyAlignment="1" applyProtection="1">
      <alignment horizontal="center" vertical="center" wrapText="1"/>
    </xf>
    <xf numFmtId="43" fontId="110" fillId="30" borderId="65" xfId="59" applyFont="1" applyFill="1" applyBorder="1" applyAlignment="1" applyProtection="1">
      <alignment horizontal="center"/>
    </xf>
    <xf numFmtId="15" fontId="25" fillId="24" borderId="65" xfId="59" applyNumberFormat="1" applyFont="1" applyFill="1" applyBorder="1" applyAlignment="1" applyProtection="1">
      <alignment horizontal="left"/>
    </xf>
    <xf numFmtId="0" fontId="0" fillId="0" borderId="65" xfId="0" applyBorder="1" applyAlignment="1">
      <alignment horizontal="left"/>
    </xf>
    <xf numFmtId="0" fontId="104" fillId="0" borderId="0" xfId="0" applyFont="1" applyAlignment="1" applyProtection="1">
      <alignment horizontal="center"/>
    </xf>
    <xf numFmtId="43" fontId="103" fillId="0" borderId="124" xfId="0" applyNumberFormat="1" applyFont="1" applyBorder="1" applyAlignment="1" applyProtection="1">
      <alignment horizontal="center" vertical="center" wrapText="1"/>
    </xf>
    <xf numFmtId="43" fontId="103" fillId="0" borderId="125" xfId="0" applyNumberFormat="1" applyFont="1" applyBorder="1" applyAlignment="1" applyProtection="1">
      <alignment horizontal="center" vertical="center" wrapText="1"/>
    </xf>
    <xf numFmtId="43" fontId="103" fillId="0" borderId="126" xfId="0" applyNumberFormat="1" applyFont="1" applyBorder="1" applyAlignment="1" applyProtection="1">
      <alignment horizontal="center" vertical="center" wrapText="1"/>
    </xf>
    <xf numFmtId="0" fontId="0" fillId="0" borderId="154" xfId="0" applyBorder="1" applyAlignment="1" applyProtection="1">
      <alignment horizontal="center"/>
    </xf>
    <xf numFmtId="0" fontId="0" fillId="0" borderId="64" xfId="0" applyBorder="1" applyAlignment="1" applyProtection="1">
      <alignment horizontal="center"/>
    </xf>
    <xf numFmtId="0" fontId="31" fillId="27" borderId="29" xfId="0" applyFont="1" applyFill="1" applyBorder="1" applyAlignment="1" applyProtection="1">
      <alignment horizontal="left" wrapText="1"/>
      <protection locked="0"/>
    </xf>
    <xf numFmtId="0" fontId="0" fillId="0" borderId="109" xfId="0" applyBorder="1" applyAlignment="1" applyProtection="1">
      <alignment horizontal="left" wrapText="1"/>
      <protection locked="0"/>
    </xf>
    <xf numFmtId="0" fontId="111" fillId="0" borderId="151" xfId="0" applyFont="1" applyFill="1" applyBorder="1" applyAlignment="1" applyProtection="1">
      <alignment horizontal="left" wrapText="1"/>
    </xf>
    <xf numFmtId="0" fontId="111" fillId="0" borderId="93" xfId="0" applyFont="1" applyFill="1" applyBorder="1" applyAlignment="1" applyProtection="1">
      <alignment horizontal="left" wrapText="1"/>
    </xf>
    <xf numFmtId="43" fontId="15" fillId="0" borderId="0" xfId="0" applyNumberFormat="1" applyFont="1" applyAlignment="1" applyProtection="1">
      <alignment horizontal="center" wrapText="1"/>
    </xf>
    <xf numFmtId="43" fontId="29" fillId="0" borderId="0" xfId="0" applyNumberFormat="1" applyFont="1" applyAlignment="1" applyProtection="1">
      <alignment horizontal="right"/>
    </xf>
    <xf numFmtId="15" fontId="29" fillId="0" borderId="0" xfId="0" applyNumberFormat="1" applyFont="1" applyAlignment="1" applyProtection="1">
      <alignment horizontal="right"/>
    </xf>
    <xf numFmtId="43" fontId="15" fillId="0" borderId="0" xfId="0" applyNumberFormat="1" applyFont="1" applyAlignment="1" applyProtection="1">
      <alignment horizontal="center"/>
    </xf>
    <xf numFmtId="43" fontId="29" fillId="0" borderId="0" xfId="0" applyNumberFormat="1" applyFont="1" applyAlignment="1" applyProtection="1">
      <alignment horizontal="left"/>
    </xf>
    <xf numFmtId="43" fontId="16" fillId="30" borderId="0" xfId="59" applyFont="1" applyFill="1" applyBorder="1" applyAlignment="1" applyProtection="1">
      <alignment horizontal="center"/>
    </xf>
    <xf numFmtId="0" fontId="0" fillId="0" borderId="110" xfId="0" applyBorder="1" applyAlignment="1" applyProtection="1">
      <alignment horizontal="left" wrapText="1"/>
      <protection locked="0"/>
    </xf>
    <xf numFmtId="0" fontId="35" fillId="27" borderId="29" xfId="0" applyFont="1" applyFill="1" applyBorder="1" applyAlignment="1" applyProtection="1">
      <alignment horizontal="left" wrapText="1"/>
      <protection locked="0"/>
    </xf>
    <xf numFmtId="0" fontId="35" fillId="27" borderId="109" xfId="0" applyFont="1" applyFill="1" applyBorder="1" applyAlignment="1" applyProtection="1">
      <alignment horizontal="left" wrapText="1"/>
      <protection locked="0"/>
    </xf>
    <xf numFmtId="0" fontId="35" fillId="27" borderId="110" xfId="0" applyFont="1" applyFill="1" applyBorder="1" applyAlignment="1" applyProtection="1">
      <alignment horizontal="left" wrapText="1"/>
      <protection locked="0"/>
    </xf>
    <xf numFmtId="0" fontId="111" fillId="0" borderId="152" xfId="0" applyFont="1" applyFill="1" applyBorder="1" applyAlignment="1" applyProtection="1">
      <alignment horizontal="left" wrapText="1"/>
    </xf>
    <xf numFmtId="0" fontId="111" fillId="0" borderId="153" xfId="0" applyFont="1" applyFill="1" applyBorder="1" applyAlignment="1" applyProtection="1">
      <alignment horizontal="left" wrapText="1"/>
    </xf>
    <xf numFmtId="0" fontId="31" fillId="0" borderId="10" xfId="0" applyFont="1" applyBorder="1" applyAlignment="1" applyProtection="1">
      <alignment vertical="center" wrapText="1"/>
    </xf>
    <xf numFmtId="9" fontId="35" fillId="27" borderId="10" xfId="57" applyFont="1" applyFill="1" applyBorder="1" applyAlignment="1" applyProtection="1">
      <alignment horizontal="left" vertical="center" wrapText="1"/>
      <protection locked="0"/>
    </xf>
    <xf numFmtId="0" fontId="35" fillId="27" borderId="29" xfId="0" applyFont="1" applyFill="1" applyBorder="1" applyAlignment="1" applyProtection="1">
      <alignment horizontal="left" vertical="top" wrapText="1"/>
      <protection locked="0"/>
    </xf>
    <xf numFmtId="0" fontId="35" fillId="27" borderId="109" xfId="0" applyFont="1" applyFill="1" applyBorder="1" applyAlignment="1" applyProtection="1">
      <alignment horizontal="left" vertical="top" wrapText="1"/>
      <protection locked="0"/>
    </xf>
    <xf numFmtId="0" fontId="35" fillId="27" borderId="110" xfId="0"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34" fillId="0" borderId="104" xfId="0" applyFont="1" applyBorder="1" applyAlignment="1" applyProtection="1">
      <alignment horizontal="center"/>
    </xf>
    <xf numFmtId="0" fontId="31" fillId="0" borderId="10" xfId="0" applyFont="1" applyBorder="1" applyAlignment="1" applyProtection="1">
      <alignment horizontal="center" vertical="center" wrapText="1"/>
    </xf>
    <xf numFmtId="0" fontId="35" fillId="20" borderId="155" xfId="0" applyFont="1" applyFill="1" applyBorder="1" applyAlignment="1" applyProtection="1">
      <alignment horizontal="left"/>
      <protection locked="0"/>
    </xf>
    <xf numFmtId="0" fontId="35" fillId="20" borderId="0" xfId="0" applyFont="1" applyFill="1" applyBorder="1" applyAlignment="1" applyProtection="1">
      <alignment horizontal="left"/>
      <protection locked="0"/>
    </xf>
    <xf numFmtId="0" fontId="35" fillId="20" borderId="42" xfId="0" applyFont="1" applyFill="1" applyBorder="1" applyAlignment="1" applyProtection="1">
      <alignment horizontal="left"/>
      <protection locked="0"/>
    </xf>
    <xf numFmtId="9" fontId="29" fillId="0" borderId="29" xfId="57" applyFont="1" applyBorder="1" applyAlignment="1" applyProtection="1">
      <alignment horizontal="center" vertical="center" wrapText="1"/>
    </xf>
    <xf numFmtId="9" fontId="29" fillId="0" borderId="109" xfId="57" applyFont="1" applyBorder="1" applyAlignment="1" applyProtection="1">
      <alignment horizontal="center" vertical="center" wrapText="1"/>
    </xf>
    <xf numFmtId="9" fontId="29" fillId="0" borderId="110" xfId="57" applyFont="1" applyBorder="1" applyAlignment="1" applyProtection="1">
      <alignment horizontal="center" vertical="center" wrapText="1"/>
    </xf>
    <xf numFmtId="9" fontId="130" fillId="0" borderId="29" xfId="57" applyFont="1" applyBorder="1" applyAlignment="1" applyProtection="1">
      <alignment horizontal="center" vertical="center" wrapText="1"/>
    </xf>
    <xf numFmtId="9" fontId="130" fillId="0" borderId="109" xfId="57" applyFont="1" applyBorder="1" applyAlignment="1" applyProtection="1">
      <alignment horizontal="center" vertical="center" wrapText="1"/>
    </xf>
    <xf numFmtId="9" fontId="130" fillId="0" borderId="110" xfId="57" applyFont="1" applyBorder="1" applyAlignment="1" applyProtection="1">
      <alignment horizontal="center" vertical="center" wrapText="1"/>
    </xf>
    <xf numFmtId="0" fontId="35" fillId="20" borderId="115" xfId="0" applyFont="1" applyFill="1" applyBorder="1" applyAlignment="1" applyProtection="1">
      <alignment horizontal="left"/>
    </xf>
    <xf numFmtId="0" fontId="35" fillId="20" borderId="115" xfId="0" applyFont="1" applyFill="1" applyBorder="1" applyAlignment="1" applyProtection="1">
      <alignment horizontal="left" vertical="center" wrapText="1"/>
    </xf>
    <xf numFmtId="49" fontId="31" fillId="0" borderId="10" xfId="0" applyNumberFormat="1" applyFont="1" applyBorder="1" applyAlignment="1" applyProtection="1">
      <alignment vertical="center" wrapText="1"/>
    </xf>
    <xf numFmtId="0" fontId="31" fillId="0" borderId="29" xfId="0" applyFont="1" applyBorder="1" applyAlignment="1" applyProtection="1">
      <alignment vertical="center" wrapText="1"/>
    </xf>
    <xf numFmtId="0" fontId="31" fillId="0" borderId="109" xfId="0" applyFont="1" applyBorder="1" applyAlignment="1" applyProtection="1">
      <alignment vertical="center" wrapText="1"/>
    </xf>
    <xf numFmtId="0" fontId="31" fillId="0" borderId="110" xfId="0" applyFont="1" applyBorder="1" applyAlignment="1" applyProtection="1">
      <alignment vertical="center" wrapText="1"/>
    </xf>
    <xf numFmtId="0" fontId="35" fillId="20" borderId="0" xfId="0" applyFont="1" applyFill="1" applyAlignment="1" applyProtection="1">
      <alignment horizontal="left"/>
      <protection locked="0"/>
    </xf>
    <xf numFmtId="0" fontId="35" fillId="20" borderId="0" xfId="0" applyFont="1" applyFill="1" applyBorder="1" applyAlignment="1" applyProtection="1">
      <alignment horizontal="left"/>
    </xf>
    <xf numFmtId="9" fontId="38" fillId="33" borderId="29" xfId="57" applyFont="1" applyFill="1" applyBorder="1" applyAlignment="1" applyProtection="1">
      <alignment horizontal="center" vertical="center" wrapText="1"/>
    </xf>
    <xf numFmtId="9" fontId="38" fillId="33" borderId="110" xfId="57" applyFont="1" applyFill="1" applyBorder="1" applyAlignment="1" applyProtection="1">
      <alignment horizontal="center" vertical="center" wrapText="1"/>
    </xf>
    <xf numFmtId="9" fontId="38" fillId="35" borderId="29" xfId="57" applyFont="1" applyFill="1" applyBorder="1" applyAlignment="1" applyProtection="1">
      <alignment horizontal="center" vertical="center" wrapText="1"/>
    </xf>
    <xf numFmtId="9" fontId="38" fillId="35" borderId="110" xfId="57" applyFont="1" applyFill="1" applyBorder="1" applyAlignment="1" applyProtection="1">
      <alignment horizontal="center" vertical="center" wrapText="1"/>
    </xf>
    <xf numFmtId="0" fontId="35" fillId="0" borderId="29" xfId="0" applyFont="1" applyBorder="1" applyAlignment="1" applyProtection="1">
      <alignment horizontal="center" vertical="center"/>
    </xf>
    <xf numFmtId="0" fontId="35" fillId="0" borderId="109" xfId="0" applyFont="1" applyBorder="1" applyAlignment="1" applyProtection="1">
      <alignment horizontal="center" vertical="center"/>
    </xf>
    <xf numFmtId="0" fontId="35" fillId="0" borderId="110" xfId="0" applyFont="1" applyBorder="1" applyAlignment="1" applyProtection="1">
      <alignment horizontal="center" vertical="center"/>
    </xf>
    <xf numFmtId="9" fontId="35" fillId="27" borderId="10" xfId="108" applyFont="1" applyFill="1" applyBorder="1" applyAlignment="1" applyProtection="1">
      <alignment horizontal="left" vertical="center" wrapText="1"/>
      <protection locked="0"/>
    </xf>
    <xf numFmtId="0" fontId="35" fillId="20" borderId="0" xfId="0" applyFont="1" applyFill="1" applyAlignment="1" applyProtection="1">
      <alignment horizontal="center" vertical="center" wrapText="1"/>
    </xf>
    <xf numFmtId="43" fontId="62" fillId="31" borderId="0" xfId="49" applyFont="1" applyFill="1" applyAlignment="1" applyProtection="1">
      <alignment horizontal="center" vertical="center"/>
    </xf>
    <xf numFmtId="0" fontId="35" fillId="0" borderId="115" xfId="0" applyFont="1" applyBorder="1" applyAlignment="1" applyProtection="1">
      <alignment horizontal="left" vertical="center" wrapText="1"/>
    </xf>
    <xf numFmtId="43" fontId="104" fillId="0" borderId="0" xfId="0" applyNumberFormat="1" applyFont="1" applyAlignment="1" applyProtection="1">
      <alignment horizontal="center"/>
    </xf>
    <xf numFmtId="43" fontId="34" fillId="0" borderId="0" xfId="0" applyNumberFormat="1" applyFont="1" applyAlignment="1" applyProtection="1">
      <alignment horizontal="center"/>
    </xf>
    <xf numFmtId="43" fontId="16" fillId="30" borderId="0" xfId="60" applyFont="1" applyFill="1" applyBorder="1" applyAlignment="1" applyProtection="1">
      <alignment horizontal="center"/>
    </xf>
    <xf numFmtId="0" fontId="86" fillId="0" borderId="0" xfId="0" applyFont="1" applyAlignment="1">
      <alignment horizontal="left" wrapText="1"/>
    </xf>
    <xf numFmtId="8" fontId="31" fillId="27" borderId="29" xfId="0" applyNumberFormat="1" applyFont="1" applyFill="1" applyBorder="1" applyAlignment="1" applyProtection="1">
      <alignment horizontal="left" wrapText="1"/>
      <protection locked="0"/>
    </xf>
    <xf numFmtId="43" fontId="29" fillId="0" borderId="0" xfId="0" applyNumberFormat="1" applyFont="1" applyAlignment="1">
      <alignment horizontal="left"/>
    </xf>
    <xf numFmtId="43" fontId="15" fillId="0" borderId="0" xfId="0" applyNumberFormat="1" applyFont="1" applyAlignment="1">
      <alignment horizontal="center"/>
    </xf>
    <xf numFmtId="0" fontId="0" fillId="0" borderId="137" xfId="0" applyFill="1" applyBorder="1" applyAlignment="1" applyProtection="1">
      <alignment horizontal="center" vertical="center"/>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15" fillId="0" borderId="0" xfId="0" applyFont="1" applyBorder="1" applyAlignment="1">
      <alignment horizontal="center"/>
    </xf>
    <xf numFmtId="0" fontId="104" fillId="0" borderId="0" xfId="0" applyFont="1" applyAlignment="1">
      <alignment horizontal="center"/>
    </xf>
    <xf numFmtId="0" fontId="0" fillId="0" borderId="0" xfId="0" applyBorder="1" applyAlignment="1">
      <alignment horizontal="center"/>
    </xf>
    <xf numFmtId="43" fontId="62" fillId="31" borderId="0" xfId="49" applyFont="1" applyFill="1" applyAlignment="1">
      <alignment horizontal="center" vertical="center"/>
    </xf>
    <xf numFmtId="43" fontId="29" fillId="0" borderId="0" xfId="0" applyNumberFormat="1" applyFont="1" applyAlignment="1">
      <alignment horizontal="right"/>
    </xf>
    <xf numFmtId="15" fontId="29" fillId="0" borderId="0" xfId="0" applyNumberFormat="1" applyFont="1" applyAlignment="1">
      <alignment horizontal="right"/>
    </xf>
    <xf numFmtId="0" fontId="22" fillId="0" borderId="211" xfId="0" applyFont="1" applyBorder="1" applyAlignment="1" applyProtection="1">
      <alignment horizontal="left"/>
      <protection locked="0"/>
    </xf>
    <xf numFmtId="0" fontId="22" fillId="0" borderId="228" xfId="0" applyFont="1" applyBorder="1" applyAlignment="1" applyProtection="1">
      <alignment horizontal="left"/>
      <protection locked="0"/>
    </xf>
    <xf numFmtId="0" fontId="78" fillId="21" borderId="13" xfId="54" applyNumberFormat="1" applyFont="1" applyFill="1" applyBorder="1" applyAlignment="1">
      <alignment horizontal="center" vertical="center" wrapText="1"/>
    </xf>
    <xf numFmtId="0" fontId="78" fillId="21" borderId="230" xfId="54" applyNumberFormat="1" applyFont="1" applyFill="1" applyBorder="1" applyAlignment="1">
      <alignment horizontal="center" vertical="center" wrapText="1"/>
    </xf>
    <xf numFmtId="0" fontId="22" fillId="0" borderId="216" xfId="0" applyFont="1" applyBorder="1" applyAlignment="1" applyProtection="1">
      <alignment horizontal="left"/>
      <protection locked="0"/>
    </xf>
    <xf numFmtId="0" fontId="22" fillId="0" borderId="231" xfId="0" applyFont="1" applyBorder="1" applyAlignment="1" applyProtection="1">
      <alignment horizontal="left"/>
      <protection locked="0"/>
    </xf>
    <xf numFmtId="0" fontId="22" fillId="0" borderId="38" xfId="0" applyFont="1" applyBorder="1" applyAlignment="1" applyProtection="1">
      <alignment horizontal="left"/>
      <protection locked="0"/>
    </xf>
    <xf numFmtId="0" fontId="22" fillId="0" borderId="229" xfId="0" applyFont="1" applyBorder="1" applyAlignment="1" applyProtection="1">
      <alignment horizontal="left"/>
      <protection locked="0"/>
    </xf>
    <xf numFmtId="0" fontId="22" fillId="0" borderId="211" xfId="0" applyFont="1" applyFill="1" applyBorder="1" applyAlignment="1" applyProtection="1">
      <alignment horizontal="left"/>
      <protection locked="0"/>
    </xf>
    <xf numFmtId="0" fontId="22" fillId="0" borderId="228" xfId="0" applyFont="1" applyFill="1" applyBorder="1" applyAlignment="1" applyProtection="1">
      <alignment horizontal="left"/>
      <protection locked="0"/>
    </xf>
    <xf numFmtId="0" fontId="22" fillId="0" borderId="216" xfId="0" applyFont="1" applyFill="1" applyBorder="1" applyAlignment="1" applyProtection="1">
      <alignment horizontal="left"/>
      <protection locked="0"/>
    </xf>
    <xf numFmtId="0" fontId="22" fillId="0" borderId="231" xfId="0" applyFont="1" applyFill="1" applyBorder="1" applyAlignment="1" applyProtection="1">
      <alignment horizontal="left"/>
      <protection locked="0"/>
    </xf>
    <xf numFmtId="0" fontId="22" fillId="0" borderId="166" xfId="0" applyFont="1" applyFill="1" applyBorder="1" applyAlignment="1" applyProtection="1">
      <alignment horizontal="left" vertical="center" wrapText="1"/>
      <protection locked="0"/>
    </xf>
    <xf numFmtId="0" fontId="22" fillId="0" borderId="223" xfId="0" applyFont="1" applyFill="1" applyBorder="1" applyAlignment="1" applyProtection="1">
      <alignment horizontal="left" vertical="center" wrapText="1"/>
      <protection locked="0"/>
    </xf>
    <xf numFmtId="0" fontId="22" fillId="0" borderId="232" xfId="0" applyFont="1" applyFill="1" applyBorder="1" applyAlignment="1" applyProtection="1">
      <alignment horizontal="left" vertical="top" wrapText="1"/>
      <protection locked="0"/>
    </xf>
    <xf numFmtId="0" fontId="22" fillId="0" borderId="233" xfId="0" applyFont="1" applyFill="1" applyBorder="1" applyAlignment="1" applyProtection="1">
      <alignment horizontal="left" vertical="top" wrapText="1"/>
      <protection locked="0"/>
    </xf>
    <xf numFmtId="0" fontId="22" fillId="0" borderId="234" xfId="0" applyFont="1" applyFill="1" applyBorder="1" applyAlignment="1" applyProtection="1">
      <alignment horizontal="left" vertical="top" wrapText="1"/>
      <protection locked="0"/>
    </xf>
    <xf numFmtId="0" fontId="22" fillId="0" borderId="220" xfId="0" applyFont="1" applyFill="1" applyBorder="1" applyAlignment="1" applyProtection="1">
      <alignment horizontal="left" vertical="top" wrapText="1"/>
      <protection locked="0"/>
    </xf>
    <xf numFmtId="0" fontId="22" fillId="0" borderId="200" xfId="0" applyFont="1" applyFill="1" applyBorder="1" applyAlignment="1" applyProtection="1">
      <alignment horizontal="left" vertical="top" wrapText="1"/>
      <protection locked="0"/>
    </xf>
    <xf numFmtId="0" fontId="22" fillId="0" borderId="235" xfId="0" applyFont="1" applyFill="1" applyBorder="1" applyAlignment="1" applyProtection="1">
      <alignment horizontal="left" vertical="top" wrapText="1"/>
      <protection locked="0"/>
    </xf>
    <xf numFmtId="43" fontId="16" fillId="30" borderId="0" xfId="61" applyFont="1" applyFill="1" applyBorder="1" applyAlignment="1" applyProtection="1">
      <alignment horizontal="center"/>
      <protection locked="0"/>
    </xf>
    <xf numFmtId="0" fontId="22" fillId="0" borderId="38" xfId="0" applyFont="1" applyFill="1" applyBorder="1" applyAlignment="1" applyProtection="1">
      <alignment horizontal="left"/>
      <protection locked="0"/>
    </xf>
    <xf numFmtId="0" fontId="22" fillId="0" borderId="229" xfId="0" applyFont="1" applyFill="1" applyBorder="1" applyAlignment="1" applyProtection="1">
      <alignment horizontal="left"/>
      <protection locked="0"/>
    </xf>
    <xf numFmtId="0" fontId="0" fillId="27" borderId="114" xfId="0" applyFill="1" applyBorder="1" applyAlignment="1" applyProtection="1">
      <alignment horizontal="center"/>
      <protection locked="0"/>
    </xf>
    <xf numFmtId="0" fontId="0" fillId="27" borderId="115" xfId="0" applyFill="1" applyBorder="1" applyAlignment="1" applyProtection="1">
      <alignment horizontal="center"/>
      <protection locked="0"/>
    </xf>
    <xf numFmtId="0" fontId="0" fillId="27" borderId="116" xfId="0" applyFill="1" applyBorder="1" applyAlignment="1" applyProtection="1">
      <alignment horizontal="center"/>
      <protection locked="0"/>
    </xf>
    <xf numFmtId="0" fontId="0" fillId="27" borderId="66" xfId="0" applyFill="1" applyBorder="1" applyAlignment="1" applyProtection="1">
      <alignment horizontal="center"/>
      <protection locked="0"/>
    </xf>
    <xf numFmtId="0" fontId="0" fillId="27" borderId="104" xfId="0" applyFill="1" applyBorder="1" applyAlignment="1" applyProtection="1">
      <alignment horizontal="center"/>
      <protection locked="0"/>
    </xf>
    <xf numFmtId="0" fontId="0" fillId="27" borderId="106" xfId="0" applyFill="1" applyBorder="1" applyAlignment="1" applyProtection="1">
      <alignment horizontal="center"/>
      <protection locked="0"/>
    </xf>
    <xf numFmtId="0" fontId="78" fillId="21" borderId="212" xfId="54" applyNumberFormat="1" applyFont="1" applyFill="1" applyBorder="1" applyAlignment="1">
      <alignment horizontal="center" vertical="center" wrapText="1"/>
    </xf>
    <xf numFmtId="0" fontId="78" fillId="21" borderId="213" xfId="54" applyNumberFormat="1" applyFont="1" applyFill="1" applyBorder="1" applyAlignment="1">
      <alignment horizontal="center" vertical="center" wrapText="1"/>
    </xf>
    <xf numFmtId="0" fontId="78" fillId="21" borderId="214" xfId="54" applyNumberFormat="1" applyFont="1" applyFill="1" applyBorder="1" applyAlignment="1">
      <alignment horizontal="center" vertical="center" wrapText="1"/>
    </xf>
    <xf numFmtId="0" fontId="78" fillId="21" borderId="209" xfId="54" applyNumberFormat="1" applyFont="1" applyFill="1" applyBorder="1" applyAlignment="1">
      <alignment horizontal="center" vertical="center" wrapText="1"/>
    </xf>
    <xf numFmtId="0" fontId="22" fillId="0" borderId="210" xfId="0" applyFont="1" applyBorder="1" applyAlignment="1" applyProtection="1">
      <alignment horizontal="left"/>
      <protection locked="0"/>
    </xf>
    <xf numFmtId="0" fontId="22" fillId="0" borderId="215" xfId="0" applyFont="1" applyBorder="1" applyAlignment="1" applyProtection="1">
      <alignment horizontal="left"/>
      <protection locked="0"/>
    </xf>
    <xf numFmtId="0" fontId="22" fillId="0" borderId="222" xfId="0" applyFont="1" applyFill="1" applyBorder="1" applyAlignment="1" applyProtection="1">
      <alignment horizontal="left"/>
      <protection locked="0"/>
    </xf>
    <xf numFmtId="0" fontId="22" fillId="0" borderId="166" xfId="0" applyFont="1" applyFill="1" applyBorder="1" applyAlignment="1" applyProtection="1">
      <alignment horizontal="left"/>
      <protection locked="0"/>
    </xf>
    <xf numFmtId="0" fontId="22" fillId="0" borderId="223" xfId="0" applyFont="1" applyFill="1" applyBorder="1" applyAlignment="1" applyProtection="1">
      <alignment horizontal="left"/>
      <protection locked="0"/>
    </xf>
    <xf numFmtId="0" fontId="93" fillId="21" borderId="112" xfId="0" applyFont="1" applyFill="1" applyBorder="1" applyAlignment="1">
      <alignment horizontal="center" vertical="center" textRotation="90"/>
    </xf>
    <xf numFmtId="0" fontId="0" fillId="21" borderId="91" xfId="0" applyFill="1" applyBorder="1" applyAlignment="1">
      <alignment horizontal="center" vertical="center" textRotation="90"/>
    </xf>
    <xf numFmtId="0" fontId="0" fillId="21" borderId="107" xfId="0" applyFill="1" applyBorder="1" applyAlignment="1">
      <alignment horizontal="center" vertical="center" textRotation="90"/>
    </xf>
    <xf numFmtId="0" fontId="22" fillId="0" borderId="227" xfId="0" applyFont="1" applyFill="1" applyBorder="1" applyAlignment="1" applyProtection="1">
      <alignment horizontal="left"/>
      <protection locked="0"/>
    </xf>
    <xf numFmtId="0" fontId="22" fillId="0" borderId="210" xfId="0" applyFont="1" applyFill="1" applyBorder="1" applyAlignment="1" applyProtection="1">
      <alignment horizontal="left"/>
      <protection locked="0"/>
    </xf>
    <xf numFmtId="0" fontId="22" fillId="0" borderId="225" xfId="0" applyFont="1" applyFill="1" applyBorder="1" applyAlignment="1" applyProtection="1">
      <alignment horizontal="left" vertical="center" wrapText="1"/>
      <protection locked="0"/>
    </xf>
    <xf numFmtId="0" fontId="22" fillId="0" borderId="226" xfId="0" applyFont="1" applyFill="1" applyBorder="1" applyAlignment="1" applyProtection="1">
      <alignment horizontal="left" vertical="center" wrapText="1"/>
      <protection locked="0"/>
    </xf>
    <xf numFmtId="0" fontId="34" fillId="0" borderId="0" xfId="0" applyFont="1" applyAlignment="1">
      <alignment horizontal="center"/>
    </xf>
    <xf numFmtId="0" fontId="22" fillId="0" borderId="215" xfId="0" applyFont="1" applyFill="1" applyBorder="1" applyAlignment="1" applyProtection="1">
      <alignment horizontal="left"/>
      <protection locked="0"/>
    </xf>
    <xf numFmtId="0" fontId="22" fillId="0" borderId="217" xfId="0" applyFont="1" applyFill="1" applyBorder="1" applyAlignment="1" applyProtection="1">
      <alignment horizontal="left" vertical="top" wrapText="1"/>
      <protection locked="0"/>
    </xf>
    <xf numFmtId="0" fontId="22" fillId="0" borderId="218" xfId="0" applyFont="1" applyFill="1" applyBorder="1" applyAlignment="1" applyProtection="1">
      <alignment horizontal="left" vertical="top" wrapText="1"/>
      <protection locked="0"/>
    </xf>
    <xf numFmtId="0" fontId="22" fillId="0" borderId="219" xfId="0" applyFont="1" applyFill="1" applyBorder="1" applyAlignment="1" applyProtection="1">
      <alignment horizontal="left" vertical="top" wrapText="1"/>
      <protection locked="0"/>
    </xf>
    <xf numFmtId="0" fontId="22" fillId="0" borderId="221" xfId="0" applyFont="1" applyFill="1" applyBorder="1" applyAlignment="1" applyProtection="1">
      <alignment horizontal="left" vertical="top" wrapText="1"/>
      <protection locked="0"/>
    </xf>
    <xf numFmtId="0" fontId="22" fillId="0" borderId="224" xfId="0" applyFont="1" applyFill="1" applyBorder="1" applyAlignment="1" applyProtection="1">
      <alignment horizontal="left"/>
      <protection locked="0"/>
    </xf>
    <xf numFmtId="0" fontId="22" fillId="0" borderId="225" xfId="0" applyFont="1" applyFill="1" applyBorder="1" applyAlignment="1" applyProtection="1">
      <alignment horizontal="left"/>
      <protection locked="0"/>
    </xf>
    <xf numFmtId="0" fontId="22" fillId="0" borderId="226" xfId="0" applyFont="1" applyFill="1" applyBorder="1" applyAlignment="1" applyProtection="1">
      <alignment horizontal="left"/>
      <protection locked="0"/>
    </xf>
    <xf numFmtId="0" fontId="22" fillId="0" borderId="227" xfId="0" applyFont="1" applyBorder="1" applyAlignment="1" applyProtection="1">
      <alignment horizontal="left"/>
      <protection locked="0"/>
    </xf>
    <xf numFmtId="9" fontId="3" fillId="0" borderId="165" xfId="57" applyNumberFormat="1" applyFont="1" applyFill="1" applyBorder="1" applyAlignment="1" applyProtection="1">
      <alignment horizontal="left" vertical="center" wrapText="1"/>
    </xf>
    <xf numFmtId="0" fontId="3" fillId="0" borderId="166" xfId="57" applyNumberFormat="1" applyFont="1" applyFill="1" applyBorder="1" applyAlignment="1" applyProtection="1">
      <alignment horizontal="left" vertical="center" wrapText="1"/>
    </xf>
    <xf numFmtId="0" fontId="3" fillId="0" borderId="167" xfId="57" applyNumberFormat="1" applyFont="1" applyFill="1" applyBorder="1" applyAlignment="1" applyProtection="1">
      <alignment horizontal="left" vertical="center" wrapText="1"/>
    </xf>
    <xf numFmtId="0" fontId="61" fillId="27" borderId="189" xfId="0" applyFont="1" applyFill="1" applyBorder="1" applyAlignment="1" applyProtection="1">
      <alignment horizontal="center" vertical="center"/>
    </xf>
    <xf numFmtId="0" fontId="61" fillId="27" borderId="190" xfId="0" applyFont="1" applyFill="1" applyBorder="1" applyAlignment="1" applyProtection="1">
      <alignment horizontal="center" vertical="center"/>
    </xf>
    <xf numFmtId="0" fontId="61" fillId="27" borderId="191" xfId="0" applyFont="1" applyFill="1" applyBorder="1" applyAlignment="1" applyProtection="1">
      <alignment horizontal="center" vertical="center"/>
    </xf>
    <xf numFmtId="0" fontId="81" fillId="0" borderId="192" xfId="0" applyNumberFormat="1" applyFont="1" applyFill="1" applyBorder="1" applyAlignment="1" applyProtection="1">
      <alignment horizontal="left" vertical="center" wrapText="1"/>
    </xf>
    <xf numFmtId="0" fontId="81" fillId="0" borderId="193" xfId="0" applyNumberFormat="1" applyFont="1" applyFill="1" applyBorder="1" applyAlignment="1" applyProtection="1">
      <alignment horizontal="left" vertical="center" wrapText="1"/>
    </xf>
    <xf numFmtId="0" fontId="81" fillId="0" borderId="194" xfId="0" applyNumberFormat="1" applyFont="1" applyFill="1" applyBorder="1" applyAlignment="1" applyProtection="1">
      <alignment horizontal="left" vertical="center" wrapText="1"/>
    </xf>
    <xf numFmtId="0" fontId="3" fillId="36" borderId="156" xfId="0" applyFont="1" applyFill="1" applyBorder="1" applyAlignment="1" applyProtection="1">
      <alignment horizontal="center" vertical="top" wrapText="1"/>
      <protection locked="0"/>
    </xf>
    <xf numFmtId="0" fontId="3" fillId="36" borderId="157" xfId="0" applyFont="1" applyFill="1" applyBorder="1" applyAlignment="1" applyProtection="1">
      <alignment horizontal="center" vertical="top" wrapText="1"/>
      <protection locked="0"/>
    </xf>
    <xf numFmtId="0" fontId="3" fillId="36" borderId="158" xfId="0" applyFont="1" applyFill="1" applyBorder="1" applyAlignment="1" applyProtection="1">
      <alignment horizontal="center" vertical="top" wrapText="1"/>
      <protection locked="0"/>
    </xf>
    <xf numFmtId="0" fontId="3" fillId="36" borderId="195" xfId="0" applyFont="1" applyFill="1" applyBorder="1" applyAlignment="1" applyProtection="1">
      <alignment horizontal="center" vertical="top" wrapText="1"/>
      <protection locked="0"/>
    </xf>
    <xf numFmtId="0" fontId="3" fillId="36" borderId="196" xfId="0" applyFont="1" applyFill="1" applyBorder="1" applyAlignment="1" applyProtection="1">
      <alignment horizontal="center" vertical="top" wrapText="1"/>
      <protection locked="0"/>
    </xf>
    <xf numFmtId="0" fontId="3" fillId="36" borderId="197" xfId="0" applyFont="1" applyFill="1" applyBorder="1" applyAlignment="1" applyProtection="1">
      <alignment horizontal="center" vertical="top" wrapText="1"/>
      <protection locked="0"/>
    </xf>
    <xf numFmtId="0" fontId="80" fillId="19" borderId="12" xfId="0" applyFont="1" applyFill="1" applyBorder="1" applyAlignment="1" applyProtection="1">
      <alignment horizontal="center" vertical="center"/>
    </xf>
    <xf numFmtId="0" fontId="61" fillId="25" borderId="174" xfId="0" applyFont="1" applyFill="1" applyBorder="1" applyAlignment="1" applyProtection="1">
      <alignment horizontal="center" vertical="center"/>
    </xf>
    <xf numFmtId="0" fontId="61" fillId="25" borderId="175" xfId="0" applyFont="1" applyFill="1" applyBorder="1" applyAlignment="1" applyProtection="1">
      <alignment horizontal="center" vertical="center"/>
    </xf>
    <xf numFmtId="0" fontId="61" fillId="25" borderId="176" xfId="0" applyFont="1" applyFill="1" applyBorder="1" applyAlignment="1" applyProtection="1">
      <alignment horizontal="center" vertical="center"/>
    </xf>
    <xf numFmtId="0" fontId="3" fillId="37" borderId="184" xfId="0" applyFont="1" applyFill="1" applyBorder="1" applyAlignment="1" applyProtection="1">
      <alignment horizontal="center" vertical="top" wrapText="1"/>
      <protection locked="0"/>
    </xf>
    <xf numFmtId="0" fontId="3" fillId="37" borderId="185" xfId="0" applyFont="1" applyFill="1" applyBorder="1" applyAlignment="1" applyProtection="1">
      <alignment horizontal="center" vertical="top" wrapText="1"/>
      <protection locked="0"/>
    </xf>
    <xf numFmtId="0" fontId="3" fillId="37" borderId="186" xfId="0" applyFont="1" applyFill="1" applyBorder="1" applyAlignment="1" applyProtection="1">
      <alignment horizontal="center" vertical="top" wrapText="1"/>
      <protection locked="0"/>
    </xf>
    <xf numFmtId="0" fontId="104" fillId="0" borderId="0" xfId="0" applyFont="1" applyBorder="1" applyAlignment="1" applyProtection="1">
      <alignment horizontal="center"/>
    </xf>
    <xf numFmtId="0" fontId="81" fillId="0" borderId="187" xfId="0" applyNumberFormat="1" applyFont="1" applyFill="1" applyBorder="1" applyAlignment="1" applyProtection="1">
      <alignment horizontal="left" vertical="top" wrapText="1"/>
    </xf>
    <xf numFmtId="0" fontId="81" fillId="0" borderId="188" xfId="0" applyNumberFormat="1" applyFont="1" applyFill="1" applyBorder="1" applyAlignment="1" applyProtection="1">
      <alignment horizontal="left" vertical="top" wrapText="1"/>
    </xf>
    <xf numFmtId="0" fontId="81" fillId="0" borderId="182" xfId="0" applyNumberFormat="1" applyFont="1" applyFill="1" applyBorder="1" applyAlignment="1" applyProtection="1">
      <alignment horizontal="left" vertical="top" wrapText="1"/>
    </xf>
    <xf numFmtId="0" fontId="81" fillId="0" borderId="198" xfId="0" applyNumberFormat="1" applyFont="1" applyFill="1" applyBorder="1" applyAlignment="1" applyProtection="1">
      <alignment horizontal="left" vertical="top" wrapText="1"/>
    </xf>
    <xf numFmtId="49" fontId="3" fillId="38" borderId="170" xfId="0" applyNumberFormat="1" applyFont="1" applyFill="1" applyBorder="1" applyAlignment="1" applyProtection="1">
      <alignment horizontal="center" vertical="center"/>
      <protection locked="0"/>
    </xf>
    <xf numFmtId="49" fontId="3" fillId="38" borderId="166" xfId="0" applyNumberFormat="1" applyFont="1" applyFill="1" applyBorder="1" applyAlignment="1" applyProtection="1">
      <alignment horizontal="center" vertical="center"/>
      <protection locked="0"/>
    </xf>
    <xf numFmtId="49" fontId="3" fillId="38" borderId="171" xfId="0" applyNumberFormat="1" applyFont="1" applyFill="1" applyBorder="1" applyAlignment="1" applyProtection="1">
      <alignment horizontal="center" vertical="center"/>
      <protection locked="0"/>
    </xf>
    <xf numFmtId="49" fontId="3" fillId="38" borderId="199" xfId="0" applyNumberFormat="1" applyFont="1" applyFill="1" applyBorder="1" applyAlignment="1" applyProtection="1">
      <alignment horizontal="center" vertical="center"/>
      <protection locked="0"/>
    </xf>
    <xf numFmtId="49" fontId="3" fillId="38" borderId="200" xfId="0" applyNumberFormat="1" applyFont="1" applyFill="1" applyBorder="1" applyAlignment="1" applyProtection="1">
      <alignment horizontal="center" vertical="center"/>
      <protection locked="0"/>
    </xf>
    <xf numFmtId="49" fontId="3" fillId="38" borderId="201" xfId="0" applyNumberFormat="1" applyFont="1" applyFill="1" applyBorder="1" applyAlignment="1" applyProtection="1">
      <alignment horizontal="center" vertical="center"/>
      <protection locked="0"/>
    </xf>
    <xf numFmtId="0" fontId="79" fillId="0" borderId="168" xfId="0" applyFont="1" applyFill="1" applyBorder="1" applyAlignment="1" applyProtection="1">
      <alignment horizontal="center"/>
    </xf>
    <xf numFmtId="0" fontId="79" fillId="0" borderId="169" xfId="0" applyFont="1" applyFill="1" applyBorder="1" applyAlignment="1" applyProtection="1">
      <alignment horizontal="center"/>
    </xf>
    <xf numFmtId="49" fontId="3" fillId="38" borderId="172" xfId="0" applyNumberFormat="1" applyFont="1" applyFill="1" applyBorder="1" applyAlignment="1" applyProtection="1">
      <alignment horizontal="center" vertical="center"/>
      <protection locked="0"/>
    </xf>
    <xf numFmtId="49" fontId="3" fillId="38" borderId="14" xfId="0" applyNumberFormat="1" applyFont="1" applyFill="1" applyBorder="1" applyAlignment="1" applyProtection="1">
      <alignment horizontal="center" vertical="center"/>
      <protection locked="0"/>
    </xf>
    <xf numFmtId="49" fontId="3" fillId="38" borderId="173" xfId="0" applyNumberFormat="1" applyFont="1" applyFill="1" applyBorder="1" applyAlignment="1" applyProtection="1">
      <alignment horizontal="center" vertical="center"/>
      <protection locked="0"/>
    </xf>
    <xf numFmtId="0" fontId="79" fillId="0" borderId="0" xfId="0" applyFont="1" applyFill="1" applyBorder="1" applyAlignment="1" applyProtection="1">
      <alignment horizontal="center"/>
    </xf>
    <xf numFmtId="0" fontId="114" fillId="24" borderId="177" xfId="0" applyFont="1" applyFill="1" applyBorder="1" applyAlignment="1" applyProtection="1">
      <alignment horizontal="center" vertical="center"/>
    </xf>
    <xf numFmtId="0" fontId="114" fillId="24" borderId="178" xfId="0" applyFont="1" applyFill="1" applyBorder="1" applyAlignment="1" applyProtection="1">
      <alignment horizontal="center" vertical="center"/>
    </xf>
    <xf numFmtId="0" fontId="0" fillId="0" borderId="178" xfId="0" applyBorder="1" applyAlignment="1">
      <alignment horizontal="center" vertical="center"/>
    </xf>
    <xf numFmtId="0" fontId="114" fillId="24" borderId="179" xfId="0" applyFont="1" applyFill="1" applyBorder="1" applyAlignment="1" applyProtection="1">
      <alignment horizontal="center" vertical="center"/>
    </xf>
    <xf numFmtId="0" fontId="114" fillId="24" borderId="180" xfId="0" applyFont="1" applyFill="1" applyBorder="1" applyAlignment="1" applyProtection="1">
      <alignment horizontal="center" vertical="center"/>
    </xf>
    <xf numFmtId="0" fontId="114" fillId="24" borderId="181" xfId="0" applyFont="1" applyFill="1" applyBorder="1" applyAlignment="1" applyProtection="1">
      <alignment horizontal="center" vertical="center"/>
    </xf>
    <xf numFmtId="0" fontId="81" fillId="0" borderId="202" xfId="0" applyNumberFormat="1" applyFont="1" applyFill="1" applyBorder="1" applyAlignment="1" applyProtection="1">
      <alignment horizontal="left" vertical="top" wrapText="1"/>
    </xf>
    <xf numFmtId="0" fontId="81" fillId="0" borderId="203" xfId="0" applyNumberFormat="1" applyFont="1" applyFill="1" applyBorder="1" applyAlignment="1" applyProtection="1">
      <alignment horizontal="left" vertical="top" wrapText="1"/>
    </xf>
    <xf numFmtId="0" fontId="3" fillId="37" borderId="162" xfId="0" applyFont="1" applyFill="1" applyBorder="1" applyAlignment="1" applyProtection="1">
      <alignment horizontal="center" vertical="top" wrapText="1"/>
      <protection locked="0"/>
    </xf>
    <xf numFmtId="0" fontId="3" fillId="37" borderId="163" xfId="0" applyFont="1" applyFill="1" applyBorder="1" applyAlignment="1" applyProtection="1">
      <alignment horizontal="center" vertical="top" wrapText="1"/>
      <protection locked="0"/>
    </xf>
    <xf numFmtId="0" fontId="3" fillId="37" borderId="164" xfId="0" applyFont="1" applyFill="1" applyBorder="1" applyAlignment="1" applyProtection="1">
      <alignment horizontal="center" vertical="top" wrapText="1"/>
      <protection locked="0"/>
    </xf>
    <xf numFmtId="0" fontId="3" fillId="0" borderId="165" xfId="57" applyNumberFormat="1" applyFont="1" applyFill="1" applyBorder="1" applyAlignment="1" applyProtection="1">
      <alignment horizontal="left" vertical="center" wrapText="1"/>
    </xf>
    <xf numFmtId="0" fontId="81" fillId="0" borderId="183" xfId="0" applyNumberFormat="1" applyFont="1" applyFill="1" applyBorder="1" applyAlignment="1" applyProtection="1">
      <alignment horizontal="left" vertical="top" wrapText="1"/>
    </xf>
    <xf numFmtId="0" fontId="81" fillId="0" borderId="204" xfId="0" applyNumberFormat="1" applyFont="1" applyFill="1" applyBorder="1" applyAlignment="1" applyProtection="1">
      <alignment horizontal="left" vertical="top" wrapText="1"/>
    </xf>
    <xf numFmtId="0" fontId="81" fillId="0" borderId="205" xfId="0" applyNumberFormat="1" applyFont="1" applyFill="1" applyBorder="1" applyAlignment="1" applyProtection="1">
      <alignment horizontal="left" vertical="top" wrapText="1"/>
    </xf>
    <xf numFmtId="0" fontId="3" fillId="36" borderId="206" xfId="0" applyFont="1" applyFill="1" applyBorder="1" applyAlignment="1" applyProtection="1">
      <alignment horizontal="center" vertical="top" wrapText="1"/>
      <protection locked="0"/>
    </xf>
    <xf numFmtId="0" fontId="3" fillId="36" borderId="207" xfId="0" applyFont="1" applyFill="1" applyBorder="1" applyAlignment="1" applyProtection="1">
      <alignment horizontal="center" vertical="top" wrapText="1"/>
      <protection locked="0"/>
    </xf>
    <xf numFmtId="0" fontId="3" fillId="36" borderId="208" xfId="0" applyFont="1" applyFill="1" applyBorder="1" applyAlignment="1" applyProtection="1">
      <alignment horizontal="center" vertical="top" wrapText="1"/>
      <protection locked="0"/>
    </xf>
    <xf numFmtId="0" fontId="3" fillId="37" borderId="159" xfId="0" applyFont="1" applyFill="1" applyBorder="1" applyAlignment="1" applyProtection="1">
      <alignment horizontal="center" vertical="top" wrapText="1"/>
      <protection locked="0"/>
    </xf>
    <xf numFmtId="0" fontId="3" fillId="37" borderId="160" xfId="0" applyFont="1" applyFill="1" applyBorder="1" applyAlignment="1" applyProtection="1">
      <alignment horizontal="center" vertical="top" wrapText="1"/>
      <protection locked="0"/>
    </xf>
    <xf numFmtId="0" fontId="3" fillId="37" borderId="161" xfId="0" applyFont="1" applyFill="1" applyBorder="1" applyAlignment="1" applyProtection="1">
      <alignment horizontal="center" vertical="top" wrapText="1"/>
      <protection locked="0"/>
    </xf>
    <xf numFmtId="43" fontId="18" fillId="31" borderId="0" xfId="40" applyFont="1" applyFill="1" applyAlignment="1">
      <alignment horizontal="center" vertical="center"/>
    </xf>
    <xf numFmtId="9" fontId="0" fillId="0" borderId="0" xfId="57" applyFont="1" applyFill="1" applyProtection="1"/>
    <xf numFmtId="9" fontId="97" fillId="0" borderId="0" xfId="57" applyFont="1" applyFill="1" applyBorder="1" applyAlignment="1" applyProtection="1">
      <alignment horizontal="center"/>
    </xf>
  </cellXfs>
  <cellStyles count="128">
    <cellStyle name="20% - Accent1" xfId="1"/>
    <cellStyle name="20% - Accent1 2" xfId="69"/>
    <cellStyle name="20% - Accent2" xfId="2"/>
    <cellStyle name="20% - Accent2 2" xfId="70"/>
    <cellStyle name="20% - Accent3" xfId="3"/>
    <cellStyle name="20% - Accent3 2" xfId="71"/>
    <cellStyle name="20% - Accent4" xfId="4"/>
    <cellStyle name="20% - Accent4 2" xfId="72"/>
    <cellStyle name="20% - Accent5" xfId="5"/>
    <cellStyle name="20% - Accent5 2" xfId="73"/>
    <cellStyle name="20% - Accent6" xfId="6"/>
    <cellStyle name="20% - Accent6 2" xfId="74"/>
    <cellStyle name="40% - Accent1" xfId="7"/>
    <cellStyle name="40% - Accent1 2" xfId="75"/>
    <cellStyle name="40% - Accent2" xfId="8"/>
    <cellStyle name="40% - Accent2 2" xfId="76"/>
    <cellStyle name="40% - Accent3" xfId="9"/>
    <cellStyle name="40% - Accent3 2" xfId="77"/>
    <cellStyle name="40% - Accent4" xfId="10"/>
    <cellStyle name="40% - Accent4 2" xfId="78"/>
    <cellStyle name="40% - Accent5" xfId="11"/>
    <cellStyle name="40% - Accent5 2" xfId="79"/>
    <cellStyle name="40% - Accent6" xfId="12"/>
    <cellStyle name="40% - Accent6 2" xfId="80"/>
    <cellStyle name="60% - Accent1" xfId="13"/>
    <cellStyle name="60% - Accent1 2" xfId="81"/>
    <cellStyle name="60% - Accent2" xfId="14"/>
    <cellStyle name="60% - Accent2 2" xfId="82"/>
    <cellStyle name="60% - Accent3" xfId="15"/>
    <cellStyle name="60% - Accent3 2" xfId="83"/>
    <cellStyle name="60% - Accent4" xfId="16"/>
    <cellStyle name="60% - Accent4 2" xfId="84"/>
    <cellStyle name="60% - Accent5" xfId="17"/>
    <cellStyle name="60% - Accent5 2" xfId="85"/>
    <cellStyle name="60% - Accent6" xfId="18"/>
    <cellStyle name="60% - Accent6 2" xfId="86"/>
    <cellStyle name="Accent1" xfId="19"/>
    <cellStyle name="Accent1 2" xfId="87"/>
    <cellStyle name="Accent2" xfId="20"/>
    <cellStyle name="Accent2 2" xfId="88"/>
    <cellStyle name="Accent3" xfId="21"/>
    <cellStyle name="Accent3 2" xfId="89"/>
    <cellStyle name="Accent4" xfId="22"/>
    <cellStyle name="Accent4 2" xfId="90"/>
    <cellStyle name="Accent5" xfId="23"/>
    <cellStyle name="Accent5 2" xfId="91"/>
    <cellStyle name="Accent6" xfId="24"/>
    <cellStyle name="Accent6 2" xfId="92"/>
    <cellStyle name="Bad" xfId="25"/>
    <cellStyle name="Bad 2" xfId="93"/>
    <cellStyle name="Calculation" xfId="26"/>
    <cellStyle name="Calculation 2" xfId="94"/>
    <cellStyle name="Check Cell" xfId="27"/>
    <cellStyle name="Check Cell 2" xfId="95"/>
    <cellStyle name="Comma" xfId="28" builtinId="3"/>
    <cellStyle name="Comma 2" xfId="96"/>
    <cellStyle name="Comma 2 2" xfId="111"/>
    <cellStyle name="Comma 3" xfId="68"/>
    <cellStyle name="Comma 3 2" xfId="113"/>
    <cellStyle name="Comma 3 3" xfId="112"/>
    <cellStyle name="Comma 4" xfId="114"/>
    <cellStyle name="Comma 5" xfId="115"/>
    <cellStyle name="Comma 5 2" xfId="127"/>
    <cellStyle name="Comma 6" xfId="116"/>
    <cellStyle name="Comma 7" xfId="126"/>
    <cellStyle name="Comma 8" xfId="117"/>
    <cellStyle name="Currency" xfId="29" builtinId="4"/>
    <cellStyle name="Currency 2" xfId="97"/>
    <cellStyle name="Euro" xfId="30"/>
    <cellStyle name="Explanatory Text" xfId="31"/>
    <cellStyle name="Explanatory Text 2" xfId="98"/>
    <cellStyle name="Followed Hyperlink" xfId="65" builtinId="9" hidden="1"/>
    <cellStyle name="Followed Hyperlink" xfId="67" builtinId="9" hidden="1"/>
    <cellStyle name="Good" xfId="32"/>
    <cellStyle name="Good 2" xfId="99"/>
    <cellStyle name="Heading 1" xfId="33"/>
    <cellStyle name="Heading 1 2" xfId="100"/>
    <cellStyle name="Heading 2" xfId="34"/>
    <cellStyle name="Heading 2 2" xfId="101"/>
    <cellStyle name="Heading 3" xfId="35"/>
    <cellStyle name="Heading 3 2" xfId="102"/>
    <cellStyle name="Heading 4" xfId="36"/>
    <cellStyle name="Heading 4 2" xfId="103"/>
    <cellStyle name="Hyperlink" xfId="64" builtinId="8" hidden="1"/>
    <cellStyle name="Hyperlink" xfId="66" builtinId="8" hidden="1"/>
    <cellStyle name="Hyperlink 2" xfId="125"/>
    <cellStyle name="Input" xfId="37"/>
    <cellStyle name="Input 2" xfId="104"/>
    <cellStyle name="Linked Cell" xfId="38"/>
    <cellStyle name="Linked Cell 2" xfId="105"/>
    <cellStyle name="Millares 2" xfId="39"/>
    <cellStyle name="Normal" xfId="0" builtinId="0"/>
    <cellStyle name="Normal 2" xfId="40"/>
    <cellStyle name="Normal 2 2" xfId="41"/>
    <cellStyle name="Normal 2 3" xfId="42"/>
    <cellStyle name="Normal 2 4" xfId="43"/>
    <cellStyle name="Normal 2 5" xfId="44"/>
    <cellStyle name="Normal 2 6" xfId="45"/>
    <cellStyle name="Normal 2 7" xfId="46"/>
    <cellStyle name="Normal 2 8" xfId="47"/>
    <cellStyle name="Normal 2_Dashboard ver 2.2 ES" xfId="48"/>
    <cellStyle name="Normal 2_Prototipo" xfId="49"/>
    <cellStyle name="Normal 3" xfId="50"/>
    <cellStyle name="Normal 3 2" xfId="118"/>
    <cellStyle name="Normal 4" xfId="51"/>
    <cellStyle name="Normal 4 2" xfId="120"/>
    <cellStyle name="Normal 4 3" xfId="119"/>
    <cellStyle name="Normal 5" xfId="52"/>
    <cellStyle name="Normal 5 2" xfId="121"/>
    <cellStyle name="Normal 6" xfId="53"/>
    <cellStyle name="Normal 6 2" xfId="122"/>
    <cellStyle name="Normal_TZ_R3HIV_Phase_2_21_August_08" xfId="54"/>
    <cellStyle name="Note" xfId="55"/>
    <cellStyle name="Note 2" xfId="106"/>
    <cellStyle name="Output" xfId="56"/>
    <cellStyle name="Output 2" xfId="107"/>
    <cellStyle name="Percent" xfId="57" builtinId="5"/>
    <cellStyle name="Percent 2" xfId="108"/>
    <cellStyle name="Percent 2 2" xfId="123"/>
    <cellStyle name="Percent 3" xfId="124"/>
    <cellStyle name="Title" xfId="58"/>
    <cellStyle name="Title 2" xfId="109"/>
    <cellStyle name="Título 3 3" xfId="59"/>
    <cellStyle name="Título 3 3_Prototipo" xfId="60"/>
    <cellStyle name="Título 3 3_PrototipoRep1" xfId="61"/>
    <cellStyle name="Título 3 7" xfId="62"/>
    <cellStyle name="Warning Text" xfId="63"/>
    <cellStyle name="Warning Text 2" xfId="110"/>
  </cellStyles>
  <dxfs count="53">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4"/>
        </patternFill>
      </fill>
    </dxf>
    <dxf>
      <font>
        <condense val="0"/>
        <extend val="0"/>
        <color auto="1"/>
      </font>
      <fill>
        <patternFill>
          <bgColor indexed="11"/>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5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Entry'!$C$33:$N$33</c:f>
              <c:numCache>
                <c:formatCode>#,##0</c:formatCode>
                <c:ptCount val="12"/>
                <c:pt idx="0">
                  <c:v>3728250.7482587667</c:v>
                </c:pt>
                <c:pt idx="1">
                  <c:v>5632849.5931904744</c:v>
                </c:pt>
                <c:pt idx="2">
                  <c:v>6198088.9585923366</c:v>
                </c:pt>
                <c:pt idx="3">
                  <c:v>6719929.391970559</c:v>
                </c:pt>
                <c:pt idx="4">
                  <c:v>0</c:v>
                </c:pt>
                <c:pt idx="5">
                  <c:v>0</c:v>
                </c:pt>
                <c:pt idx="6">
                  <c:v>0</c:v>
                </c:pt>
                <c:pt idx="7">
                  <c:v>0</c:v>
                </c:pt>
                <c:pt idx="8">
                  <c:v>0</c:v>
                </c:pt>
                <c:pt idx="9">
                  <c:v>0</c:v>
                </c:pt>
                <c:pt idx="10">
                  <c:v>0</c:v>
                </c:pt>
                <c:pt idx="11">
                  <c:v>0</c:v>
                </c:pt>
              </c:numCache>
            </c:numRef>
          </c:val>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val>
            <c:numRef>
              <c:f>'Data Entry'!$C$34:$N$34</c:f>
              <c:numCache>
                <c:formatCode>#,##0</c:formatCode>
                <c:ptCount val="12"/>
                <c:pt idx="0">
                  <c:v>4454139</c:v>
                </c:pt>
                <c:pt idx="1">
                  <c:v>11174068</c:v>
                </c:pt>
                <c:pt idx="2">
                  <c:v>11174068</c:v>
                </c:pt>
                <c:pt idx="3">
                  <c:v>11174068</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70"/>
        <c:axId val="-765943712"/>
        <c:axId val="-959490400"/>
      </c:barChart>
      <c:catAx>
        <c:axId val="-7659437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7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959490400"/>
        <c:crosses val="autoZero"/>
        <c:auto val="1"/>
        <c:lblAlgn val="ctr"/>
        <c:lblOffset val="100"/>
        <c:tickLblSkip val="1"/>
        <c:tickMarkSkip val="1"/>
        <c:noMultiLvlLbl val="0"/>
      </c:catAx>
      <c:valAx>
        <c:axId val="-95949040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765943712"/>
        <c:crosses val="autoZero"/>
        <c:crossBetween val="between"/>
      </c:valAx>
      <c:spPr>
        <a:solidFill>
          <a:srgbClr val="FFFFFF"/>
        </a:solidFill>
        <a:ln w="3175">
          <a:solidFill>
            <a:srgbClr val="000000"/>
          </a:solidFill>
          <a:prstDash val="solid"/>
        </a:ln>
      </c:spPr>
    </c:plotArea>
    <c:legend>
      <c:legendPos val="r"/>
      <c:layout>
        <c:manualLayout>
          <c:xMode val="edge"/>
          <c:yMode val="edge"/>
          <c:x val="0.144167869068722"/>
          <c:y val="0.88209606986899602"/>
          <c:w val="0.84665787195448905"/>
          <c:h val="0.10480349344978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6001"/>
          <c:y val="0.121547289222444"/>
          <c:w val="0.60327318841303301"/>
          <c:h val="0.55248767828383605"/>
        </c:manualLayout>
      </c:layout>
      <c:barChart>
        <c:barDir val="bar"/>
        <c:grouping val="percentStacked"/>
        <c:varyColors val="0"/>
        <c:ser>
          <c:idx val="1"/>
          <c:order val="0"/>
          <c:tx>
            <c:strRef>
              <c:f>'Data Entry'!$D$92</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Entry'!$D$93:$D$94</c:f>
              <c:numCache>
                <c:formatCode>0</c:formatCode>
                <c:ptCount val="2"/>
                <c:pt idx="0">
                  <c:v>0</c:v>
                </c:pt>
                <c:pt idx="1">
                  <c:v>0</c:v>
                </c:pt>
              </c:numCache>
            </c:numRef>
          </c:val>
        </c:ser>
        <c:ser>
          <c:idx val="2"/>
          <c:order val="1"/>
          <c:tx>
            <c:strRef>
              <c:f>'Data Entry'!$E$92</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Entry'!$E$93:$E$94</c:f>
              <c:numCache>
                <c:formatCode>0</c:formatCode>
                <c:ptCount val="2"/>
                <c:pt idx="0">
                  <c:v>0</c:v>
                </c:pt>
                <c:pt idx="1">
                  <c:v>0</c:v>
                </c:pt>
              </c:numCache>
            </c:numRef>
          </c:val>
        </c:ser>
        <c:dLbls>
          <c:showLegendKey val="0"/>
          <c:showVal val="0"/>
          <c:showCatName val="0"/>
          <c:showSerName val="0"/>
          <c:showPercent val="0"/>
          <c:showBubbleSize val="0"/>
        </c:dLbls>
        <c:gapWidth val="101"/>
        <c:overlap val="100"/>
        <c:axId val="-701823072"/>
        <c:axId val="-701821984"/>
      </c:barChart>
      <c:catAx>
        <c:axId val="-701823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01821984"/>
        <c:crosses val="autoZero"/>
        <c:auto val="1"/>
        <c:lblAlgn val="ctr"/>
        <c:lblOffset val="100"/>
        <c:noMultiLvlLbl val="0"/>
      </c:catAx>
      <c:valAx>
        <c:axId val="-70182198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01823072"/>
        <c:crosses val="max"/>
        <c:crossBetween val="between"/>
      </c:valAx>
    </c:plotArea>
    <c:legend>
      <c:legendPos val="r"/>
      <c:layout>
        <c:manualLayout>
          <c:xMode val="edge"/>
          <c:yMode val="edge"/>
          <c:x val="0.31839426523297698"/>
          <c:y val="0.80991776027996298"/>
          <c:w val="0.35496650015522302"/>
          <c:h val="0.13223097112860899"/>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101"/>
          <c:y val="0.10989010989011"/>
          <c:w val="0.81094724363350601"/>
          <c:h val="0.54395604395604402"/>
        </c:manualLayout>
      </c:layout>
      <c:lineChart>
        <c:grouping val="standard"/>
        <c:varyColors val="0"/>
        <c:ser>
          <c:idx val="0"/>
          <c:order val="0"/>
          <c:tx>
            <c:strRef>
              <c:f>'Data Entry'!$B$102</c:f>
              <c:strCache>
                <c:ptCount val="1"/>
                <c:pt idx="0">
                  <c:v>Cumulative 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Entry'!$C$102:$N$102</c:f>
              <c:numCache>
                <c:formatCode>#,##0</c:formatCode>
                <c:ptCount val="12"/>
                <c:pt idx="0">
                  <c:v>56761.768333333333</c:v>
                </c:pt>
                <c:pt idx="1">
                  <c:v>76336.143333333341</c:v>
                </c:pt>
                <c:pt idx="2">
                  <c:v>113704.21500000001</c:v>
                </c:pt>
                <c:pt idx="3">
                  <c:v>133278.59000000003</c:v>
                </c:pt>
                <c:pt idx="4">
                  <c:v>133278.59000000003</c:v>
                </c:pt>
                <c:pt idx="5">
                  <c:v>133278.59000000003</c:v>
                </c:pt>
                <c:pt idx="6">
                  <c:v>133278.59000000003</c:v>
                </c:pt>
                <c:pt idx="7">
                  <c:v>133278.59000000003</c:v>
                </c:pt>
                <c:pt idx="8">
                  <c:v>133278.59000000003</c:v>
                </c:pt>
                <c:pt idx="9">
                  <c:v>133278.59000000003</c:v>
                </c:pt>
                <c:pt idx="10">
                  <c:v>133278.59000000003</c:v>
                </c:pt>
                <c:pt idx="11">
                  <c:v>133278.59000000003</c:v>
                </c:pt>
              </c:numCache>
            </c:numRef>
          </c:val>
          <c:smooth val="0"/>
        </c:ser>
        <c:ser>
          <c:idx val="1"/>
          <c:order val="1"/>
          <c:tx>
            <c:strRef>
              <c:f>'Data Entry'!$B$103</c:f>
              <c:strCache>
                <c:ptCount val="1"/>
                <c:pt idx="0">
                  <c:v>Obligations </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Entry'!$C$103:$N$103</c:f>
              <c:numCache>
                <c:formatCode>#,##0</c:formatCode>
                <c:ptCount val="12"/>
                <c:pt idx="0">
                  <c:v>5088011.34</c:v>
                </c:pt>
                <c:pt idx="1">
                  <c:v>0.33999999985098839</c:v>
                </c:pt>
                <c:pt idx="2">
                  <c:v>0.33999999985098839</c:v>
                </c:pt>
                <c:pt idx="3">
                  <c:v>481080.53999999986</c:v>
                </c:pt>
                <c:pt idx="4">
                  <c:v>481080.53999999986</c:v>
                </c:pt>
                <c:pt idx="5">
                  <c:v>481080.53999999986</c:v>
                </c:pt>
                <c:pt idx="6">
                  <c:v>481080.53999999986</c:v>
                </c:pt>
                <c:pt idx="7">
                  <c:v>481080.53999999986</c:v>
                </c:pt>
                <c:pt idx="8">
                  <c:v>481080.53999999986</c:v>
                </c:pt>
                <c:pt idx="9">
                  <c:v>481080.53999999986</c:v>
                </c:pt>
                <c:pt idx="10">
                  <c:v>481080.53999999986</c:v>
                </c:pt>
                <c:pt idx="11">
                  <c:v>481080.53999999986</c:v>
                </c:pt>
              </c:numCache>
            </c:numRef>
          </c:val>
          <c:smooth val="0"/>
        </c:ser>
        <c:ser>
          <c:idx val="2"/>
          <c:order val="2"/>
          <c:tx>
            <c:strRef>
              <c:f>'Data Entry'!$B$104</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Entry'!$C$104:$N$104</c:f>
              <c:numCache>
                <c:formatCode>#,##0</c:formatCode>
                <c:ptCount val="12"/>
                <c:pt idx="0">
                  <c:v>29446.19</c:v>
                </c:pt>
                <c:pt idx="1">
                  <c:v>5120476.54</c:v>
                </c:pt>
                <c:pt idx="2">
                  <c:v>5124686.26</c:v>
                </c:pt>
                <c:pt idx="3">
                  <c:v>5148057.1899999995</c:v>
                </c:pt>
                <c:pt idx="4">
                  <c:v>5148057.1899999995</c:v>
                </c:pt>
                <c:pt idx="5">
                  <c:v>5148057.1899999995</c:v>
                </c:pt>
                <c:pt idx="6">
                  <c:v>5148057.1899999995</c:v>
                </c:pt>
                <c:pt idx="7">
                  <c:v>5148057.1899999995</c:v>
                </c:pt>
                <c:pt idx="8">
                  <c:v>5148057.1899999995</c:v>
                </c:pt>
                <c:pt idx="9">
                  <c:v>5148057.1899999995</c:v>
                </c:pt>
                <c:pt idx="10">
                  <c:v>5148057.1899999995</c:v>
                </c:pt>
                <c:pt idx="11">
                  <c:v>5148057.1899999995</c:v>
                </c:pt>
              </c:numCache>
            </c:numRef>
          </c:val>
          <c:smooth val="0"/>
        </c:ser>
        <c:dLbls>
          <c:showLegendKey val="0"/>
          <c:showVal val="0"/>
          <c:showCatName val="0"/>
          <c:showSerName val="0"/>
          <c:showPercent val="0"/>
          <c:showBubbleSize val="0"/>
        </c:dLbls>
        <c:marker val="1"/>
        <c:smooth val="0"/>
        <c:axId val="-701818720"/>
        <c:axId val="-701822528"/>
      </c:lineChart>
      <c:catAx>
        <c:axId val="-70181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701822528"/>
        <c:crosses val="autoZero"/>
        <c:auto val="1"/>
        <c:lblAlgn val="ctr"/>
        <c:lblOffset val="100"/>
        <c:tickLblSkip val="1"/>
        <c:tickMarkSkip val="1"/>
        <c:noMultiLvlLbl val="0"/>
      </c:catAx>
      <c:valAx>
        <c:axId val="-7018225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701818720"/>
        <c:crosses val="autoZero"/>
        <c:crossBetween val="between"/>
      </c:valAx>
      <c:spPr>
        <a:solidFill>
          <a:srgbClr val="FFFFFF"/>
        </a:solidFill>
        <a:ln w="12700">
          <a:solidFill>
            <a:srgbClr val="808080"/>
          </a:solidFill>
          <a:prstDash val="solid"/>
        </a:ln>
      </c:spPr>
    </c:plotArea>
    <c:legend>
      <c:legendPos val="r"/>
      <c:layout>
        <c:manualLayout>
          <c:xMode val="edge"/>
          <c:yMode val="edge"/>
          <c:x val="6.2189315887752797E-2"/>
          <c:y val="0.69780219780219799"/>
          <c:w val="0.922887922591766"/>
          <c:h val="0.175824175824176"/>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layout>
        <c:manualLayout>
          <c:xMode val="edge"/>
          <c:yMode val="edge"/>
          <c:x val="0"/>
          <c:y val="0"/>
        </c:manualLayout>
      </c:layout>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3728250.7482587667</c:v>
                </c:pt>
                <c:pt idx="1">
                  <c:v>5632849.5931904744</c:v>
                </c:pt>
                <c:pt idx="2">
                  <c:v>6198088.9585923366</c:v>
                </c:pt>
                <c:pt idx="3">
                  <c:v>6719929.391970559</c:v>
                </c:pt>
                <c:pt idx="4">
                  <c:v>0</c:v>
                </c:pt>
                <c:pt idx="5">
                  <c:v>0</c:v>
                </c:pt>
                <c:pt idx="6">
                  <c:v>0</c:v>
                </c:pt>
                <c:pt idx="7">
                  <c:v>0</c:v>
                </c:pt>
                <c:pt idx="8">
                  <c:v>0</c:v>
                </c:pt>
                <c:pt idx="9">
                  <c:v>0</c:v>
                </c:pt>
                <c:pt idx="10">
                  <c:v>0</c:v>
                </c:pt>
              </c:numCache>
            </c:numRef>
          </c:val>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4454139</c:v>
                </c:pt>
                <c:pt idx="1">
                  <c:v>11174068</c:v>
                </c:pt>
                <c:pt idx="2">
                  <c:v>11174068</c:v>
                </c:pt>
                <c:pt idx="3">
                  <c:v>11174068</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dropLines>
          <c:spPr>
            <a:ln w="3175">
              <a:solidFill>
                <a:srgbClr val="000000"/>
              </a:solidFill>
              <a:prstDash val="solid"/>
            </a:ln>
          </c:spPr>
        </c:dropLines>
        <c:axId val="-701820896"/>
        <c:axId val="-701819808"/>
      </c:areaChart>
      <c:catAx>
        <c:axId val="-70182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701819808"/>
        <c:crosses val="autoZero"/>
        <c:auto val="1"/>
        <c:lblAlgn val="ctr"/>
        <c:lblOffset val="100"/>
        <c:tickLblSkip val="8"/>
        <c:tickMarkSkip val="1"/>
        <c:noMultiLvlLbl val="0"/>
      </c:catAx>
      <c:valAx>
        <c:axId val="-701819808"/>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70182089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6904"/>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Entry'!$B$56:$B$59</c:f>
              <c:strCache>
                <c:ptCount val="4"/>
                <c:pt idx="0">
                  <c:v>Disbursed by Global Fund</c:v>
                </c:pt>
                <c:pt idx="1">
                  <c:v>PR expenditure </c:v>
                </c:pt>
                <c:pt idx="2">
                  <c:v>Disbursed to SRs</c:v>
                </c:pt>
                <c:pt idx="3">
                  <c:v>SR expenditures</c:v>
                </c:pt>
              </c:strCache>
            </c:strRef>
          </c:cat>
          <c:val>
            <c:numRef>
              <c:f>'Data Entry'!$C$56:$C$59</c:f>
              <c:numCache>
                <c:formatCode>#,##0</c:formatCode>
                <c:ptCount val="4"/>
                <c:pt idx="0">
                  <c:v>6719929</c:v>
                </c:pt>
                <c:pt idx="1">
                  <c:v>8577435.6699999999</c:v>
                </c:pt>
                <c:pt idx="2">
                  <c:v>0</c:v>
                </c:pt>
                <c:pt idx="3">
                  <c:v>0</c:v>
                </c:pt>
              </c:numCache>
            </c:numRef>
          </c:val>
        </c:ser>
        <c:ser>
          <c:idx val="1"/>
          <c:order val="1"/>
          <c:spPr>
            <a:solidFill>
              <a:srgbClr val="CCFFFF"/>
            </a:solidFill>
            <a:ln w="1270">
              <a:solidFill>
                <a:schemeClr val="tx1"/>
              </a:solidFill>
              <a:prstDash val="solid"/>
              <a:miter lim="800000"/>
            </a:ln>
            <a:scene3d>
              <a:camera prst="orthographicFront"/>
              <a:lightRig rig="threePt" dir="t">
                <a:rot lat="0" lon="0" rev="1200000"/>
              </a:lightRig>
            </a:scene3d>
            <a:sp3d/>
          </c:spPr>
          <c:invertIfNegative val="0"/>
          <c:cat>
            <c:strRef>
              <c:f>'Data Entry'!$B$56:$B$59</c:f>
              <c:strCache>
                <c:ptCount val="4"/>
                <c:pt idx="0">
                  <c:v>Disbursed by Global Fund</c:v>
                </c:pt>
                <c:pt idx="1">
                  <c:v>PR expenditure </c:v>
                </c:pt>
                <c:pt idx="2">
                  <c:v>Disbursed to SRs</c:v>
                </c:pt>
                <c:pt idx="3">
                  <c:v>SR expenditures</c:v>
                </c:pt>
              </c:strCache>
            </c:strRef>
          </c:cat>
          <c:val>
            <c:numRef>
              <c:f>'Data Entry'!$D$56:$D$59</c:f>
              <c:numCache>
                <c:formatCode>_(* #,##0.00_);_(* \(#,##0.00\);_(* "-"??_);_(@_)</c:formatCode>
                <c:ptCount val="4"/>
                <c:pt idx="0">
                  <c:v>0</c:v>
                </c:pt>
                <c:pt idx="1">
                  <c:v>757624.45999999903</c:v>
                </c:pt>
                <c:pt idx="2" formatCode="#,##0">
                  <c:v>0</c:v>
                </c:pt>
                <c:pt idx="3" formatCode="#,##0">
                  <c:v>0</c:v>
                </c:pt>
              </c:numCache>
            </c:numRef>
          </c:val>
        </c:ser>
        <c:dLbls>
          <c:showLegendKey val="0"/>
          <c:showVal val="0"/>
          <c:showCatName val="0"/>
          <c:showSerName val="0"/>
          <c:showPercent val="0"/>
          <c:showBubbleSize val="0"/>
        </c:dLbls>
        <c:gapWidth val="150"/>
        <c:overlap val="100"/>
        <c:axId val="-959502912"/>
        <c:axId val="-959500736"/>
      </c:barChart>
      <c:catAx>
        <c:axId val="-9595029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9500736"/>
        <c:crossesAt val="0"/>
        <c:auto val="1"/>
        <c:lblAlgn val="ctr"/>
        <c:lblOffset val="100"/>
        <c:noMultiLvlLbl val="0"/>
      </c:catAx>
      <c:valAx>
        <c:axId val="-959500736"/>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959502912"/>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8"/>
          <c:y val="9.3877551020408095E-2"/>
          <c:w val="0.84029484029484303"/>
          <c:h val="0.53469387755102304"/>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Entry'!$B$41:$B$50</c:f>
              <c:strCache>
                <c:ptCount val="10"/>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pt idx="9">
                  <c:v>Commitment: 850,604 USD (50% for insecticides + 285,000 for parasite prevalence study) </c:v>
                </c:pt>
              </c:strCache>
            </c:strRef>
          </c:cat>
          <c:val>
            <c:numRef>
              <c:f>'Data Entry'!$C$39:$C$48</c:f>
              <c:numCache>
                <c:formatCode>_(* #,##0_);_(* \(#,##0\);_(* "-"??_);_(@_)</c:formatCode>
                <c:ptCount val="10"/>
                <c:pt idx="0">
                  <c:v>3077785.8239703034</c:v>
                </c:pt>
                <c:pt idx="1">
                  <c:v>529020.98029208975</c:v>
                </c:pt>
                <c:pt idx="2">
                  <c:v>1042598.3969604061</c:v>
                </c:pt>
                <c:pt idx="3">
                  <c:v>0</c:v>
                </c:pt>
                <c:pt idx="4">
                  <c:v>133278.59</c:v>
                </c:pt>
                <c:pt idx="5">
                  <c:v>27299.999999999996</c:v>
                </c:pt>
                <c:pt idx="6">
                  <c:v>12000</c:v>
                </c:pt>
                <c:pt idx="7">
                  <c:v>1566471.9310690816</c:v>
                </c:pt>
                <c:pt idx="8">
                  <c:v>164303.48286049729</c:v>
                </c:pt>
                <c:pt idx="9">
                  <c:v>167170.18681818183</c:v>
                </c:pt>
              </c:numCache>
            </c:numRef>
          </c:val>
        </c:ser>
        <c:ser>
          <c:idx val="1"/>
          <c:order val="1"/>
          <c:spPr>
            <a:solidFill>
              <a:srgbClr val="C0C0C0"/>
            </a:solidFill>
            <a:ln w="12700">
              <a:solidFill>
                <a:srgbClr val="000000"/>
              </a:solidFill>
              <a:prstDash val="solid"/>
            </a:ln>
            <a:effectLst>
              <a:outerShdw dist="35921" dir="2700000" algn="br">
                <a:srgbClr val="000000"/>
              </a:outerShdw>
            </a:effectLst>
          </c:spPr>
          <c:invertIfNegative val="0"/>
          <c:cat>
            <c:strRef>
              <c:f>'Data Entry'!$B$41:$B$50</c:f>
              <c:strCache>
                <c:ptCount val="10"/>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pt idx="9">
                  <c:v>Commitment: 850,604 USD (50% for insecticides + 285,000 for parasite prevalence study) </c:v>
                </c:pt>
              </c:strCache>
            </c:strRef>
          </c:cat>
          <c:val>
            <c:numRef>
              <c:f>'Data Entry'!$D$39:$D$49</c:f>
              <c:numCache>
                <c:formatCode>_(* #,##0_);_(* \(#,##0\);_(* "-"??_);_(@_)</c:formatCode>
                <c:ptCount val="11"/>
                <c:pt idx="0">
                  <c:v>2785565.6</c:v>
                </c:pt>
                <c:pt idx="1">
                  <c:v>233429.57</c:v>
                </c:pt>
                <c:pt idx="2">
                  <c:v>345714.11</c:v>
                </c:pt>
                <c:pt idx="3">
                  <c:v>5088011.34</c:v>
                </c:pt>
                <c:pt idx="4">
                  <c:v>60044.77</c:v>
                </c:pt>
                <c:pt idx="5">
                  <c:v>221279.63</c:v>
                </c:pt>
                <c:pt idx="6">
                  <c:v>9983.59</c:v>
                </c:pt>
                <c:pt idx="7">
                  <c:v>410214.44</c:v>
                </c:pt>
                <c:pt idx="8">
                  <c:v>7253.65</c:v>
                </c:pt>
                <c:pt idx="9">
                  <c:v>173563.43</c:v>
                </c:pt>
              </c:numCache>
            </c:numRef>
          </c:val>
        </c:ser>
        <c:dLbls>
          <c:showLegendKey val="0"/>
          <c:showVal val="0"/>
          <c:showCatName val="0"/>
          <c:showSerName val="0"/>
          <c:showPercent val="0"/>
          <c:showBubbleSize val="0"/>
        </c:dLbls>
        <c:gapWidth val="150"/>
        <c:axId val="-702909200"/>
        <c:axId val="-702917360"/>
      </c:barChart>
      <c:catAx>
        <c:axId val="-70290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702917360"/>
        <c:crosses val="autoZero"/>
        <c:auto val="1"/>
        <c:lblAlgn val="ctr"/>
        <c:lblOffset val="100"/>
        <c:tickMarkSkip val="1"/>
        <c:noMultiLvlLbl val="0"/>
      </c:catAx>
      <c:valAx>
        <c:axId val="-7029173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702909200"/>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769347239407221"/>
          <c:h val="0.66680009761151471"/>
        </c:manualLayout>
      </c:layout>
      <c:barChart>
        <c:barDir val="col"/>
        <c:grouping val="clustered"/>
        <c:varyColors val="0"/>
        <c:ser>
          <c:idx val="0"/>
          <c:order val="0"/>
          <c:tx>
            <c:strRef>
              <c:f>'Data Entry'!$G$124</c:f>
              <c:strCache>
                <c:ptCount val="1"/>
                <c:pt idx="0">
                  <c:v>Target</c:v>
                </c:pt>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Entry'!$H$124:$S$124</c:f>
              <c:numCache>
                <c:formatCode>#,##0</c:formatCode>
                <c:ptCount val="12"/>
                <c:pt idx="1">
                  <c:v>809876</c:v>
                </c:pt>
                <c:pt idx="2">
                  <c:v>0</c:v>
                </c:pt>
                <c:pt idx="3">
                  <c:v>0</c:v>
                </c:pt>
              </c:numCache>
            </c:numRef>
          </c:val>
        </c:ser>
        <c:ser>
          <c:idx val="1"/>
          <c:order val="1"/>
          <c:tx>
            <c:strRef>
              <c:f>'Data Entry'!$G$125</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Entry'!$H$125:$S$125</c:f>
              <c:numCache>
                <c:formatCode>#,##0</c:formatCode>
                <c:ptCount val="12"/>
                <c:pt idx="1">
                  <c:v>788516</c:v>
                </c:pt>
                <c:pt idx="2">
                  <c:v>0</c:v>
                </c:pt>
                <c:pt idx="3">
                  <c:v>0</c:v>
                </c:pt>
              </c:numCache>
            </c:numRef>
          </c:val>
        </c:ser>
        <c:dLbls>
          <c:showLegendKey val="0"/>
          <c:showVal val="0"/>
          <c:showCatName val="0"/>
          <c:showSerName val="0"/>
          <c:showPercent val="0"/>
          <c:showBubbleSize val="0"/>
        </c:dLbls>
        <c:gapWidth val="150"/>
        <c:axId val="-702910288"/>
        <c:axId val="-702908656"/>
      </c:barChart>
      <c:catAx>
        <c:axId val="-702910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702908656"/>
        <c:crosses val="autoZero"/>
        <c:auto val="1"/>
        <c:lblAlgn val="ctr"/>
        <c:lblOffset val="100"/>
        <c:tickLblSkip val="1"/>
        <c:tickMarkSkip val="1"/>
        <c:noMultiLvlLbl val="0"/>
      </c:catAx>
      <c:valAx>
        <c:axId val="-70290865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02910288"/>
        <c:crosses val="autoZero"/>
        <c:crossBetween val="between"/>
      </c:valAx>
      <c:spPr>
        <a:noFill/>
        <a:ln w="25400">
          <a:noFill/>
        </a:ln>
      </c:spPr>
    </c:plotArea>
    <c:legend>
      <c:legendPos val="r"/>
      <c:layout>
        <c:manualLayout>
          <c:xMode val="edge"/>
          <c:yMode val="edge"/>
          <c:x val="0.191781283312282"/>
          <c:y val="0.911919274339413"/>
          <c:w val="0.56506946870549002"/>
          <c:h val="7.253886010362700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Entry'!$G$126</c:f>
              <c:strCache>
                <c:ptCount val="1"/>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Entry'!$H$126:$S$126</c:f>
              <c:numCache>
                <c:formatCode>#,##0</c:formatCode>
                <c:ptCount val="12"/>
              </c:numCache>
            </c:numRef>
          </c:val>
        </c:ser>
        <c:ser>
          <c:idx val="1"/>
          <c:order val="1"/>
          <c:tx>
            <c:strRef>
              <c:f>'Data Entry'!$G$127</c:f>
              <c:strCache>
                <c:ptCount val="1"/>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Entry'!$H$127:$S$127</c:f>
              <c:numCache>
                <c:formatCode>#,##0</c:formatCode>
                <c:ptCount val="12"/>
              </c:numCache>
            </c:numRef>
          </c:val>
        </c:ser>
        <c:dLbls>
          <c:showLegendKey val="0"/>
          <c:showVal val="0"/>
          <c:showCatName val="0"/>
          <c:showSerName val="0"/>
          <c:showPercent val="0"/>
          <c:showBubbleSize val="0"/>
        </c:dLbls>
        <c:gapWidth val="150"/>
        <c:axId val="-702915728"/>
        <c:axId val="-702912464"/>
      </c:barChart>
      <c:catAx>
        <c:axId val="-70291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702912464"/>
        <c:crosses val="autoZero"/>
        <c:auto val="1"/>
        <c:lblAlgn val="ctr"/>
        <c:lblOffset val="100"/>
        <c:tickLblSkip val="1"/>
        <c:tickMarkSkip val="1"/>
        <c:noMultiLvlLbl val="0"/>
      </c:catAx>
      <c:valAx>
        <c:axId val="-70291246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02915728"/>
        <c:crosses val="autoZero"/>
        <c:crossBetween val="between"/>
      </c:valAx>
      <c:spPr>
        <a:noFill/>
        <a:ln w="25400">
          <a:noFill/>
        </a:ln>
      </c:spPr>
    </c:plotArea>
    <c:legend>
      <c:legendPos val="r"/>
      <c:layout>
        <c:manualLayout>
          <c:xMode val="edge"/>
          <c:yMode val="edge"/>
          <c:x val="0.202090592334495"/>
          <c:y val="0.90575916230366504"/>
          <c:w val="0.57491289198606199"/>
          <c:h val="7.3298429319371805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val>
            <c:numRef>
              <c:f>'Data Entry'!$H$120:$S$120</c:f>
              <c:numCache>
                <c:formatCode>"Q"#,##0_);[Red]\("Q"#,##0\)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'Data Entry'!$G$122</c:f>
              <c:strCache>
                <c:ptCount val="1"/>
                <c:pt idx="0">
                  <c:v>Target</c:v>
                </c:pt>
              </c:strCache>
            </c:strRef>
          </c:tx>
          <c:spPr>
            <a:pattFill prst="pct50">
              <a:fgClr>
                <a:srgbClr val="99CCFF"/>
              </a:fgClr>
              <a:bgClr>
                <a:srgbClr val="FFFFFF"/>
              </a:bgClr>
            </a:pattFill>
            <a:ln w="12700">
              <a:solidFill>
                <a:srgbClr val="0000FF"/>
              </a:solidFill>
              <a:prstDash val="solid"/>
            </a:ln>
          </c:spPr>
          <c:invertIfNegative val="0"/>
          <c:val>
            <c:numRef>
              <c:f>'Data Entry'!$H$122:$S$122</c:f>
              <c:numCache>
                <c:formatCode>#,##0</c:formatCode>
                <c:ptCount val="12"/>
                <c:pt idx="1">
                  <c:v>871071</c:v>
                </c:pt>
                <c:pt idx="2">
                  <c:v>0</c:v>
                </c:pt>
                <c:pt idx="3">
                  <c:v>0</c:v>
                </c:pt>
              </c:numCache>
            </c:numRef>
          </c:val>
        </c:ser>
        <c:ser>
          <c:idx val="2"/>
          <c:order val="2"/>
          <c:tx>
            <c:strRef>
              <c:f>'Data Entry'!$G$123</c:f>
              <c:strCache>
                <c:ptCount val="1"/>
                <c:pt idx="0">
                  <c:v>Achieved </c:v>
                </c:pt>
              </c:strCache>
            </c:strRef>
          </c:tx>
          <c:invertIfNegative val="0"/>
          <c:val>
            <c:numRef>
              <c:f>'Data Entry'!$H$123:$S$123</c:f>
              <c:numCache>
                <c:formatCode>#,##0</c:formatCode>
                <c:ptCount val="12"/>
                <c:pt idx="1">
                  <c:v>771553</c:v>
                </c:pt>
                <c:pt idx="2">
                  <c:v>0</c:v>
                </c:pt>
                <c:pt idx="3">
                  <c:v>0</c:v>
                </c:pt>
              </c:numCache>
            </c:numRef>
          </c:val>
        </c:ser>
        <c:dLbls>
          <c:showLegendKey val="0"/>
          <c:showVal val="0"/>
          <c:showCatName val="0"/>
          <c:showSerName val="0"/>
          <c:showPercent val="0"/>
          <c:showBubbleSize val="0"/>
        </c:dLbls>
        <c:gapWidth val="150"/>
        <c:axId val="-702917904"/>
        <c:axId val="-702923888"/>
      </c:barChart>
      <c:catAx>
        <c:axId val="-70291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702923888"/>
        <c:crosses val="autoZero"/>
        <c:auto val="1"/>
        <c:lblAlgn val="ctr"/>
        <c:lblOffset val="100"/>
        <c:tickLblSkip val="1"/>
        <c:tickMarkSkip val="1"/>
        <c:noMultiLvlLbl val="0"/>
      </c:catAx>
      <c:valAx>
        <c:axId val="-70292388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702917904"/>
        <c:crosses val="autoZero"/>
        <c:crossBetween val="between"/>
      </c:valAx>
      <c:spPr>
        <a:noFill/>
        <a:ln w="25400">
          <a:noFill/>
        </a:ln>
      </c:spPr>
    </c:plotArea>
    <c:legend>
      <c:legendPos val="r"/>
      <c:layout>
        <c:manualLayout>
          <c:xMode val="edge"/>
          <c:yMode val="edge"/>
          <c:x val="0.21754459639913501"/>
          <c:y val="0.91237113402061898"/>
          <c:w val="0.19845530440380399"/>
          <c:h val="8.762910838263962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9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Entry'!$C$83</c:f>
              <c:numCache>
                <c:formatCode>General</c:formatCode>
                <c:ptCount val="1"/>
              </c:numCache>
            </c:numRef>
          </c:val>
        </c:ser>
        <c:dLbls>
          <c:showLegendKey val="0"/>
          <c:showVal val="0"/>
          <c:showCatName val="0"/>
          <c:showSerName val="0"/>
          <c:showPercent val="0"/>
          <c:showBubbleSize val="0"/>
        </c:dLbls>
        <c:gapWidth val="79"/>
        <c:overlap val="100"/>
        <c:axId val="-702915184"/>
        <c:axId val="-702911376"/>
      </c:barChart>
      <c:catAx>
        <c:axId val="-702915184"/>
        <c:scaling>
          <c:orientation val="minMax"/>
        </c:scaling>
        <c:delete val="1"/>
        <c:axPos val="l"/>
        <c:majorTickMark val="out"/>
        <c:minorTickMark val="none"/>
        <c:tickLblPos val="none"/>
        <c:crossAx val="-702911376"/>
        <c:crosses val="autoZero"/>
        <c:auto val="1"/>
        <c:lblAlgn val="ctr"/>
        <c:lblOffset val="100"/>
        <c:noMultiLvlLbl val="0"/>
      </c:catAx>
      <c:valAx>
        <c:axId val="-70291137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02915184"/>
        <c:crosses val="max"/>
        <c:crossBetween val="between"/>
      </c:valAx>
    </c:plotArea>
    <c:legend>
      <c:legendPos val="r"/>
      <c:layout>
        <c:manualLayout>
          <c:xMode val="edge"/>
          <c:yMode val="edge"/>
          <c:x val="0.29449174785355198"/>
          <c:y val="0.80435315150823505"/>
          <c:w val="0.37076315672405302"/>
          <c:h val="0.14492829700635301"/>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496"/>
          <c:h val="0.606560613903549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Entry'!$C$88</c:f>
              <c:numCache>
                <c:formatCode>General</c:formatCode>
                <c:ptCount val="1"/>
                <c:pt idx="0">
                  <c:v>0</c:v>
                </c:pt>
              </c:numCache>
            </c:numRef>
          </c:val>
        </c:ser>
        <c:dLbls>
          <c:showLegendKey val="0"/>
          <c:showVal val="0"/>
          <c:showCatName val="0"/>
          <c:showSerName val="0"/>
          <c:showPercent val="0"/>
          <c:showBubbleSize val="0"/>
        </c:dLbls>
        <c:gapWidth val="150"/>
        <c:overlap val="-20"/>
        <c:axId val="-702914640"/>
        <c:axId val="-702914096"/>
      </c:barChart>
      <c:catAx>
        <c:axId val="-702914640"/>
        <c:scaling>
          <c:orientation val="minMax"/>
        </c:scaling>
        <c:delete val="0"/>
        <c:axPos val="b"/>
        <c:majorTickMark val="none"/>
        <c:minorTickMark val="none"/>
        <c:tickLblPos val="none"/>
        <c:spPr>
          <a:ln w="3175">
            <a:solidFill>
              <a:srgbClr val="000000"/>
            </a:solidFill>
            <a:prstDash val="solid"/>
          </a:ln>
        </c:spPr>
        <c:crossAx val="-702914096"/>
        <c:crosses val="autoZero"/>
        <c:auto val="0"/>
        <c:lblAlgn val="ctr"/>
        <c:lblOffset val="100"/>
        <c:tickMarkSkip val="1"/>
        <c:noMultiLvlLbl val="0"/>
      </c:catAx>
      <c:valAx>
        <c:axId val="-702914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02914640"/>
        <c:crosses val="autoZero"/>
        <c:crossBetween val="between"/>
      </c:valAx>
      <c:spPr>
        <a:noFill/>
        <a:ln w="25400">
          <a:noFill/>
        </a:ln>
      </c:spPr>
    </c:plotArea>
    <c:legend>
      <c:legendPos val="r"/>
      <c:layout>
        <c:manualLayout>
          <c:xMode val="edge"/>
          <c:yMode val="edge"/>
          <c:x val="7.0422535211267595E-2"/>
          <c:y val="0.85245901639344501"/>
          <c:w val="0.85446009389671296"/>
          <c:h val="0.10928961748633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Entry'!$D$75</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Entry'!$D$76:$D$77</c:f>
              <c:numCache>
                <c:formatCode>0</c:formatCode>
                <c:ptCount val="2"/>
              </c:numCache>
            </c:numRef>
          </c:val>
        </c:ser>
        <c:ser>
          <c:idx val="1"/>
          <c:order val="1"/>
          <c:tx>
            <c:strRef>
              <c:f>'Data Entry'!$E$75</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Entry'!$E$76:$E$77</c:f>
              <c:numCache>
                <c:formatCode>0</c:formatCode>
                <c:ptCount val="2"/>
              </c:numCache>
            </c:numRef>
          </c:val>
        </c:ser>
        <c:ser>
          <c:idx val="2"/>
          <c:order val="2"/>
          <c:tx>
            <c:strRef>
              <c:f>'Data Entry'!$F$75</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Entry'!$F$76:$F$77</c:f>
              <c:numCache>
                <c:formatCode>0</c:formatCode>
                <c:ptCount val="2"/>
              </c:numCache>
            </c:numRef>
          </c:val>
        </c:ser>
        <c:dLbls>
          <c:showLegendKey val="0"/>
          <c:showVal val="0"/>
          <c:showCatName val="0"/>
          <c:showSerName val="0"/>
          <c:showPercent val="0"/>
          <c:showBubbleSize val="0"/>
        </c:dLbls>
        <c:gapWidth val="70"/>
        <c:overlap val="100"/>
        <c:axId val="-702920624"/>
        <c:axId val="-702922800"/>
      </c:barChart>
      <c:catAx>
        <c:axId val="-70292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02922800"/>
        <c:crosses val="autoZero"/>
        <c:auto val="1"/>
        <c:lblAlgn val="ctr"/>
        <c:lblOffset val="100"/>
        <c:tickLblSkip val="1"/>
        <c:tickMarkSkip val="1"/>
        <c:noMultiLvlLbl val="0"/>
      </c:catAx>
      <c:valAx>
        <c:axId val="-70292280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02920624"/>
        <c:crosses val="autoZero"/>
        <c:crossBetween val="between"/>
      </c:valAx>
      <c:spPr>
        <a:noFill/>
        <a:ln w="25400">
          <a:noFill/>
        </a:ln>
      </c:spPr>
    </c:plotArea>
    <c:legend>
      <c:legendPos val="r"/>
      <c:layout>
        <c:manualLayout>
          <c:xMode val="edge"/>
          <c:yMode val="edge"/>
          <c:x val="1.1441647597254001E-2"/>
          <c:y val="0.81599999999999995"/>
          <c:w val="0.97940503432494297"/>
          <c:h val="0.1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Menu!A1"/><Relationship Id="rId1" Type="http://schemas.openxmlformats.org/officeDocument/2006/relationships/chart" Target="../charts/chart4.xml"/><Relationship Id="rId5" Type="http://schemas.openxmlformats.org/officeDocument/2006/relationships/image" Target="../media/image6.png"/><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6.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Menu!A1"/><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142875</xdr:rowOff>
    </xdr:from>
    <xdr:to>
      <xdr:col>11</xdr:col>
      <xdr:colOff>638175</xdr:colOff>
      <xdr:row>19</xdr:row>
      <xdr:rowOff>104775</xdr:rowOff>
    </xdr:to>
    <xdr:pic>
      <xdr:nvPicPr>
        <xdr:cNvPr id="756776"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38100" y="1381125"/>
          <a:ext cx="7648575" cy="2819400"/>
        </a:xfrm>
        <a:prstGeom prst="rect">
          <a:avLst/>
        </a:prstGeom>
        <a:noFill/>
        <a:ln w="1">
          <a:noFill/>
          <a:miter lim="800000"/>
          <a:headEnd/>
          <a:tailEnd/>
        </a:ln>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756777" name="Picture 824"/>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57375"/>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756778" name="AutoShape 27"/>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47625</xdr:rowOff>
    </xdr:from>
    <xdr:to>
      <xdr:col>6</xdr:col>
      <xdr:colOff>533400</xdr:colOff>
      <xdr:row>12</xdr:row>
      <xdr:rowOff>38100</xdr:rowOff>
    </xdr:to>
    <xdr:grpSp>
      <xdr:nvGrpSpPr>
        <xdr:cNvPr id="756779" name="Group 25">
          <a:hlinkClick xmlns:r="http://schemas.openxmlformats.org/officeDocument/2006/relationships" r:id="rId3"/>
        </xdr:cNvPr>
        <xdr:cNvGrpSpPr>
          <a:grpSpLocks/>
        </xdr:cNvGrpSpPr>
      </xdr:nvGrpSpPr>
      <xdr:grpSpPr bwMode="auto">
        <a:xfrm>
          <a:off x="3407833" y="2428875"/>
          <a:ext cx="1009650" cy="371475"/>
          <a:chOff x="1200" y="1912"/>
          <a:chExt cx="3456" cy="774"/>
        </a:xfrm>
      </xdr:grpSpPr>
      <xdr:sp macro="" textlink="">
        <xdr:nvSpPr>
          <xdr:cNvPr id="7370"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5" y="1991"/>
            <a:ext cx="3293"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8" y="2011"/>
            <a:ext cx="35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171450</xdr:rowOff>
    </xdr:from>
    <xdr:to>
      <xdr:col>6</xdr:col>
      <xdr:colOff>628650</xdr:colOff>
      <xdr:row>17</xdr:row>
      <xdr:rowOff>161925</xdr:rowOff>
    </xdr:to>
    <xdr:grpSp>
      <xdr:nvGrpSpPr>
        <xdr:cNvPr id="756780" name="Group 25">
          <a:hlinkClick xmlns:r="http://schemas.openxmlformats.org/officeDocument/2006/relationships" r:id="rId4"/>
        </xdr:cNvPr>
        <xdr:cNvGrpSpPr>
          <a:grpSpLocks/>
        </xdr:cNvGrpSpPr>
      </xdr:nvGrpSpPr>
      <xdr:grpSpPr bwMode="auto">
        <a:xfrm>
          <a:off x="3445933" y="3505200"/>
          <a:ext cx="1066800" cy="371475"/>
          <a:chOff x="1200" y="1912"/>
          <a:chExt cx="3456" cy="774"/>
        </a:xfrm>
      </xdr:grpSpPr>
      <xdr:sp macro="" textlink="">
        <xdr:nvSpPr>
          <xdr:cNvPr id="736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3" y="1991"/>
            <a:ext cx="3302"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3" y="2011"/>
            <a:ext cx="370"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590550</xdr:colOff>
      <xdr:row>15</xdr:row>
      <xdr:rowOff>0</xdr:rowOff>
    </xdr:to>
    <xdr:grpSp>
      <xdr:nvGrpSpPr>
        <xdr:cNvPr id="756781" name="Group 25">
          <a:hlinkClick xmlns:r="http://schemas.openxmlformats.org/officeDocument/2006/relationships" r:id="rId5"/>
        </xdr:cNvPr>
        <xdr:cNvGrpSpPr>
          <a:grpSpLocks/>
        </xdr:cNvGrpSpPr>
      </xdr:nvGrpSpPr>
      <xdr:grpSpPr bwMode="auto">
        <a:xfrm>
          <a:off x="3407833" y="2962275"/>
          <a:ext cx="1066800" cy="371475"/>
          <a:chOff x="1200" y="1912"/>
          <a:chExt cx="3456" cy="774"/>
        </a:xfrm>
      </xdr:grpSpPr>
      <xdr:sp macro="" textlink="">
        <xdr:nvSpPr>
          <xdr:cNvPr id="736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3" y="1991"/>
            <a:ext cx="3302"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3" y="2011"/>
            <a:ext cx="370"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323850</xdr:colOff>
      <xdr:row>5</xdr:row>
      <xdr:rowOff>0</xdr:rowOff>
    </xdr:from>
    <xdr:to>
      <xdr:col>7</xdr:col>
      <xdr:colOff>400050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756783" name="Group 832">
          <a:hlinkClick xmlns:r="http://schemas.openxmlformats.org/officeDocument/2006/relationships" r:id="rId6"/>
        </xdr:cNvPr>
        <xdr:cNvGrpSpPr>
          <a:grpSpLocks/>
        </xdr:cNvGrpSpPr>
      </xdr:nvGrpSpPr>
      <xdr:grpSpPr bwMode="auto">
        <a:xfrm>
          <a:off x="5703358" y="2571750"/>
          <a:ext cx="1507067" cy="409575"/>
          <a:chOff x="599" y="262"/>
          <a:chExt cx="158" cy="43"/>
        </a:xfrm>
      </xdr:grpSpPr>
      <xdr:sp macro="" textlink="">
        <xdr:nvSpPr>
          <xdr:cNvPr id="7360"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15"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756817"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756784" name="Group 830"/>
        <xdr:cNvGrpSpPr>
          <a:grpSpLocks/>
        </xdr:cNvGrpSpPr>
      </xdr:nvGrpSpPr>
      <xdr:grpSpPr bwMode="auto">
        <a:xfrm>
          <a:off x="321733" y="1895475"/>
          <a:ext cx="2143125" cy="2124075"/>
          <a:chOff x="32" y="188"/>
          <a:chExt cx="225" cy="225"/>
        </a:xfrm>
      </xdr:grpSpPr>
      <xdr:sp macro="" textlink="">
        <xdr:nvSpPr>
          <xdr:cNvPr id="756812"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756785" name="Group 826"/>
        <xdr:cNvGrpSpPr>
          <a:grpSpLocks/>
        </xdr:cNvGrpSpPr>
      </xdr:nvGrpSpPr>
      <xdr:grpSpPr bwMode="auto">
        <a:xfrm>
          <a:off x="5693833" y="3200400"/>
          <a:ext cx="1507067" cy="409575"/>
          <a:chOff x="578" y="328"/>
          <a:chExt cx="158" cy="43"/>
        </a:xfrm>
      </xdr:grpSpPr>
      <xdr:sp macro="" textlink="">
        <xdr:nvSpPr>
          <xdr:cNvPr id="7354"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9"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756811"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756786" name="Group 831">
          <a:hlinkClick xmlns:r="http://schemas.openxmlformats.org/officeDocument/2006/relationships" r:id="rId8"/>
        </xdr:cNvPr>
        <xdr:cNvGrpSpPr>
          <a:grpSpLocks/>
        </xdr:cNvGrpSpPr>
      </xdr:nvGrpSpPr>
      <xdr:grpSpPr bwMode="auto">
        <a:xfrm>
          <a:off x="588433" y="3467100"/>
          <a:ext cx="1504950" cy="342900"/>
          <a:chOff x="56" y="259"/>
          <a:chExt cx="158" cy="40"/>
        </a:xfrm>
      </xdr:grpSpPr>
      <xdr:sp macro="" textlink="">
        <xdr:nvSpPr>
          <xdr:cNvPr id="7350"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5"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756787" name="37 Grupo">
          <a:hlinkClick xmlns:r="http://schemas.openxmlformats.org/officeDocument/2006/relationships" r:id="rId9"/>
        </xdr:cNvPr>
        <xdr:cNvGrpSpPr>
          <a:grpSpLocks/>
        </xdr:cNvGrpSpPr>
      </xdr:nvGrpSpPr>
      <xdr:grpSpPr bwMode="auto">
        <a:xfrm>
          <a:off x="588433" y="2409825"/>
          <a:ext cx="1504950" cy="371475"/>
          <a:chOff x="1343025" y="2428876"/>
          <a:chExt cx="3240982" cy="617274"/>
        </a:xfrm>
      </xdr:grpSpPr>
      <xdr:sp macro="" textlink="">
        <xdr:nvSpPr>
          <xdr:cNvPr id="7346"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1"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756788" name="37 Grupo">
          <a:hlinkClick xmlns:r="http://schemas.openxmlformats.org/officeDocument/2006/relationships" r:id="rId10"/>
        </xdr:cNvPr>
        <xdr:cNvGrpSpPr>
          <a:grpSpLocks/>
        </xdr:cNvGrpSpPr>
      </xdr:nvGrpSpPr>
      <xdr:grpSpPr bwMode="auto">
        <a:xfrm>
          <a:off x="588433" y="2943225"/>
          <a:ext cx="1504950" cy="371475"/>
          <a:chOff x="1343025" y="2428876"/>
          <a:chExt cx="3240982" cy="617274"/>
        </a:xfrm>
      </xdr:grpSpPr>
      <xdr:sp macro="" textlink="">
        <xdr:nvSpPr>
          <xdr:cNvPr id="7342"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797"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756789" name="Picture 2012"/>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33600" cy="447675"/>
        </a:xfrm>
        <a:prstGeom prst="rect">
          <a:avLst/>
        </a:prstGeom>
        <a:noFill/>
        <a:ln w="9525">
          <a:noFill/>
          <a:miter lim="800000"/>
          <a:headEnd/>
          <a:tailEnd/>
        </a:ln>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756791" name="Picture 2016"/>
        <xdr:cNvPicPr>
          <a:picLocks noChangeAspect="1" noChangeArrowheads="1"/>
        </xdr:cNvPicPr>
      </xdr:nvPicPr>
      <xdr:blipFill>
        <a:blip xmlns:r="http://schemas.openxmlformats.org/officeDocument/2006/relationships" r:embed="rId12" cstate="print"/>
        <a:srcRect/>
        <a:stretch>
          <a:fillRect/>
        </a:stretch>
      </xdr:blipFill>
      <xdr:spPr bwMode="auto">
        <a:xfrm>
          <a:off x="2609850" y="1876425"/>
          <a:ext cx="2600325" cy="447675"/>
        </a:xfrm>
        <a:prstGeom prst="rect">
          <a:avLst/>
        </a:prstGeom>
        <a:noFill/>
        <a:ln w="9525">
          <a:noFill/>
          <a:miter lim="800000"/>
          <a:headEnd/>
          <a:tailEnd/>
        </a:ln>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756793" name="Picture 2018"/>
        <xdr:cNvPicPr>
          <a:picLocks noChangeAspect="1" noChangeArrowheads="1"/>
        </xdr:cNvPicPr>
      </xdr:nvPicPr>
      <xdr:blipFill>
        <a:blip xmlns:r="http://schemas.openxmlformats.org/officeDocument/2006/relationships" r:embed="rId13" cstate="print"/>
        <a:srcRect/>
        <a:stretch>
          <a:fillRect/>
        </a:stretch>
      </xdr:blipFill>
      <xdr:spPr bwMode="auto">
        <a:xfrm>
          <a:off x="5381625" y="1885950"/>
          <a:ext cx="2162175" cy="438150"/>
        </a:xfrm>
        <a:prstGeom prst="rect">
          <a:avLst/>
        </a:prstGeom>
        <a:noFill/>
        <a:ln w="9525">
          <a:noFill/>
          <a:miter lim="800000"/>
          <a:headEnd/>
          <a:tailEnd/>
        </a:ln>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756795" name="Picture 17" descr="http://www.crwflags.com/fotw/images/g/gh.gif"/>
        <xdr:cNvPicPr>
          <a:picLocks noChangeAspect="1" noChangeArrowheads="1"/>
        </xdr:cNvPicPr>
      </xdr:nvPicPr>
      <xdr:blipFill>
        <a:blip xmlns:r="http://schemas.openxmlformats.org/officeDocument/2006/relationships" r:embed="rId14" cstate="print"/>
        <a:srcRect/>
        <a:stretch>
          <a:fillRect/>
        </a:stretch>
      </xdr:blipFill>
      <xdr:spPr bwMode="auto">
        <a:xfrm>
          <a:off x="85725" y="333375"/>
          <a:ext cx="88582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27710"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942975</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49</xdr:row>
      <xdr:rowOff>161925</xdr:rowOff>
    </xdr:to>
    <xdr:cxnSp macro="">
      <xdr:nvCxnSpPr>
        <xdr:cNvPr id="6862" name="AutoShape 100"/>
        <xdr:cNvCxnSpPr>
          <a:cxnSpLocks noChangeShapeType="1"/>
        </xdr:cNvCxnSpPr>
      </xdr:nvCxnSpPr>
      <xdr:spPr bwMode="auto">
        <a:xfrm rot="5400000">
          <a:off x="7786687" y="6929438"/>
          <a:ext cx="307657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50</xdr:row>
      <xdr:rowOff>104775</xdr:rowOff>
    </xdr:from>
    <xdr:to>
      <xdr:col>4</xdr:col>
      <xdr:colOff>1057275</xdr:colOff>
      <xdr:row>50</xdr:row>
      <xdr:rowOff>104775</xdr:rowOff>
    </xdr:to>
    <xdr:cxnSp macro="">
      <xdr:nvCxnSpPr>
        <xdr:cNvPr id="6863" name="AutoShape 101"/>
        <xdr:cNvCxnSpPr>
          <a:cxnSpLocks noChangeShapeType="1"/>
        </xdr:cNvCxnSpPr>
      </xdr:nvCxnSpPr>
      <xdr:spPr bwMode="auto">
        <a:xfrm rot="10800000">
          <a:off x="6067425" y="8610600"/>
          <a:ext cx="1057275" cy="0"/>
        </a:xfrm>
        <a:prstGeom prst="straightConnector1">
          <a:avLst/>
        </a:prstGeom>
        <a:noFill/>
        <a:ln w="9525">
          <a:solidFill>
            <a:srgbClr val="000000"/>
          </a:solidFill>
          <a:round/>
          <a:headEnd type="triangle" w="med" len="med"/>
          <a:tailEnd type="triangle" w="med" len="med"/>
        </a:ln>
      </xdr:spPr>
    </xdr:cxnSp>
    <xdr:clientData/>
  </xdr:twoCellAnchor>
  <xdr:twoCellAnchor editAs="oneCell">
    <xdr:from>
      <xdr:col>1</xdr:col>
      <xdr:colOff>66675</xdr:colOff>
      <xdr:row>3</xdr:row>
      <xdr:rowOff>19050</xdr:rowOff>
    </xdr:from>
    <xdr:to>
      <xdr:col>1</xdr:col>
      <xdr:colOff>781050</xdr:colOff>
      <xdr:row>4</xdr:row>
      <xdr:rowOff>188119</xdr:rowOff>
    </xdr:to>
    <xdr:pic>
      <xdr:nvPicPr>
        <xdr:cNvPr id="6864"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247650" y="647700"/>
          <a:ext cx="7143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1190625</xdr:colOff>
      <xdr:row>3</xdr:row>
      <xdr:rowOff>66675</xdr:rowOff>
    </xdr:to>
    <xdr:pic>
      <xdr:nvPicPr>
        <xdr:cNvPr id="9402"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180975" y="600075"/>
          <a:ext cx="100965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314325</xdr:colOff>
      <xdr:row>9</xdr:row>
      <xdr:rowOff>104775</xdr:rowOff>
    </xdr:from>
    <xdr:to>
      <xdr:col>7</xdr:col>
      <xdr:colOff>57150</xdr:colOff>
      <xdr:row>21</xdr:row>
      <xdr:rowOff>0</xdr:rowOff>
    </xdr:to>
    <xdr:graphicFrame macro="">
      <xdr:nvGraphicFramePr>
        <xdr:cNvPr id="10790"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7</xdr:col>
      <xdr:colOff>533400</xdr:colOff>
      <xdr:row>9</xdr:row>
      <xdr:rowOff>152400</xdr:rowOff>
    </xdr:from>
    <xdr:to>
      <xdr:col>12</xdr:col>
      <xdr:colOff>257175</xdr:colOff>
      <xdr:row>20</xdr:row>
      <xdr:rowOff>123825</xdr:rowOff>
    </xdr:to>
    <xdr:grpSp>
      <xdr:nvGrpSpPr>
        <xdr:cNvPr id="10792" name="Group 489"/>
        <xdr:cNvGrpSpPr>
          <a:grpSpLocks/>
        </xdr:cNvGrpSpPr>
      </xdr:nvGrpSpPr>
      <xdr:grpSpPr bwMode="auto">
        <a:xfrm>
          <a:off x="4657725" y="3695700"/>
          <a:ext cx="3714750" cy="2066925"/>
          <a:chOff x="408" y="176"/>
          <a:chExt cx="366" cy="287"/>
        </a:xfrm>
      </xdr:grpSpPr>
      <xdr:graphicFrame macro="">
        <xdr:nvGraphicFramePr>
          <xdr:cNvPr id="10797" name="Chart 31"/>
          <xdr:cNvGraphicFramePr>
            <a:graphicFrameLocks/>
          </xdr:cNvGraphicFramePr>
        </xdr:nvGraphicFramePr>
        <xdr:xfrm>
          <a:off x="408" y="176"/>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0798" name="Picture 477" descr="one"/>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104775</xdr:colOff>
      <xdr:row>23</xdr:row>
      <xdr:rowOff>152400</xdr:rowOff>
    </xdr:from>
    <xdr:to>
      <xdr:col>6</xdr:col>
      <xdr:colOff>104775</xdr:colOff>
      <xdr:row>33</xdr:row>
      <xdr:rowOff>9525</xdr:rowOff>
    </xdr:to>
    <xdr:grpSp>
      <xdr:nvGrpSpPr>
        <xdr:cNvPr id="10793" name="Group 490"/>
        <xdr:cNvGrpSpPr>
          <a:grpSpLocks/>
        </xdr:cNvGrpSpPr>
      </xdr:nvGrpSpPr>
      <xdr:grpSpPr bwMode="auto">
        <a:xfrm>
          <a:off x="104775" y="8791575"/>
          <a:ext cx="3867150" cy="2333625"/>
          <a:chOff x="11" y="521"/>
          <a:chExt cx="407" cy="245"/>
        </a:xfrm>
      </xdr:grpSpPr>
      <xdr:graphicFrame macro="">
        <xdr:nvGraphicFramePr>
          <xdr:cNvPr id="10795" name="Chart 34"/>
          <xdr:cNvGraphicFramePr>
            <a:graphicFrameLocks/>
          </xdr:cNvGraphicFramePr>
        </xdr:nvGraphicFramePr>
        <xdr:xfrm>
          <a:off x="11" y="521"/>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0796" name="Picture 487" descr="ok"/>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twoCellAnchor editAs="oneCell">
    <xdr:from>
      <xdr:col>1</xdr:col>
      <xdr:colOff>0</xdr:colOff>
      <xdr:row>1</xdr:row>
      <xdr:rowOff>0</xdr:rowOff>
    </xdr:from>
    <xdr:to>
      <xdr:col>1</xdr:col>
      <xdr:colOff>714375</xdr:colOff>
      <xdr:row>2</xdr:row>
      <xdr:rowOff>9525</xdr:rowOff>
    </xdr:to>
    <xdr:pic>
      <xdr:nvPicPr>
        <xdr:cNvPr id="10794"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38125" y="390525"/>
          <a:ext cx="714375"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57150</xdr:colOff>
      <xdr:row>9</xdr:row>
      <xdr:rowOff>38100</xdr:rowOff>
    </xdr:from>
    <xdr:to>
      <xdr:col>11</xdr:col>
      <xdr:colOff>542925</xdr:colOff>
      <xdr:row>16</xdr:row>
      <xdr:rowOff>209550</xdr:rowOff>
    </xdr:to>
    <xdr:graphicFrame macro="">
      <xdr:nvGraphicFramePr>
        <xdr:cNvPr id="2078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12</xdr:col>
      <xdr:colOff>38100</xdr:colOff>
      <xdr:row>9</xdr:row>
      <xdr:rowOff>38100</xdr:rowOff>
    </xdr:from>
    <xdr:to>
      <xdr:col>17</xdr:col>
      <xdr:colOff>228600</xdr:colOff>
      <xdr:row>16</xdr:row>
      <xdr:rowOff>190500</xdr:rowOff>
    </xdr:to>
    <xdr:graphicFrame macro="">
      <xdr:nvGraphicFramePr>
        <xdr:cNvPr id="20788"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723900</xdr:colOff>
      <xdr:row>9</xdr:row>
      <xdr:rowOff>180975</xdr:rowOff>
    </xdr:from>
    <xdr:to>
      <xdr:col>4</xdr:col>
      <xdr:colOff>457200</xdr:colOff>
      <xdr:row>18</xdr:row>
      <xdr:rowOff>66675</xdr:rowOff>
    </xdr:to>
    <xdr:graphicFrame macro="">
      <xdr:nvGraphicFramePr>
        <xdr:cNvPr id="20789"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590550</xdr:colOff>
      <xdr:row>2</xdr:row>
      <xdr:rowOff>9525</xdr:rowOff>
    </xdr:to>
    <xdr:pic>
      <xdr:nvPicPr>
        <xdr:cNvPr id="20790" name="Picture 17" descr="http://www.crwflags.com/fotw/images/g/gh.gif"/>
        <xdr:cNvPicPr>
          <a:picLocks noChangeAspect="1" noChangeArrowheads="1"/>
        </xdr:cNvPicPr>
      </xdr:nvPicPr>
      <xdr:blipFill>
        <a:blip xmlns:r="http://schemas.openxmlformats.org/officeDocument/2006/relationships" r:embed="rId5" cstate="print"/>
        <a:srcRect/>
        <a:stretch>
          <a:fillRect/>
        </a:stretch>
      </xdr:blipFill>
      <xdr:spPr bwMode="auto">
        <a:xfrm>
          <a:off x="28575" y="323850"/>
          <a:ext cx="590550" cy="295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238125</xdr:colOff>
      <xdr:row>14</xdr:row>
      <xdr:rowOff>152400</xdr:rowOff>
    </xdr:to>
    <xdr:graphicFrame macro="">
      <xdr:nvGraphicFramePr>
        <xdr:cNvPr id="1476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16</xdr:row>
      <xdr:rowOff>38100</xdr:rowOff>
    </xdr:from>
    <xdr:to>
      <xdr:col>5</xdr:col>
      <xdr:colOff>1095375</xdr:colOff>
      <xdr:row>25</xdr:row>
      <xdr:rowOff>66675</xdr:rowOff>
    </xdr:to>
    <xdr:graphicFrame macro="">
      <xdr:nvGraphicFramePr>
        <xdr:cNvPr id="14765"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1095375</xdr:colOff>
      <xdr:row>14</xdr:row>
      <xdr:rowOff>66675</xdr:rowOff>
    </xdr:to>
    <xdr:graphicFrame macro="">
      <xdr:nvGraphicFramePr>
        <xdr:cNvPr id="14766"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228600</xdr:colOff>
      <xdr:row>15</xdr:row>
      <xdr:rowOff>180975</xdr:rowOff>
    </xdr:from>
    <xdr:to>
      <xdr:col>12</xdr:col>
      <xdr:colOff>371475</xdr:colOff>
      <xdr:row>24</xdr:row>
      <xdr:rowOff>180975</xdr:rowOff>
    </xdr:to>
    <xdr:graphicFrame macro="">
      <xdr:nvGraphicFramePr>
        <xdr:cNvPr id="14767"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285750</xdr:colOff>
      <xdr:row>27</xdr:row>
      <xdr:rowOff>47625</xdr:rowOff>
    </xdr:from>
    <xdr:to>
      <xdr:col>5</xdr:col>
      <xdr:colOff>952500</xdr:colOff>
      <xdr:row>33</xdr:row>
      <xdr:rowOff>247650</xdr:rowOff>
    </xdr:to>
    <xdr:graphicFrame macro="">
      <xdr:nvGraphicFramePr>
        <xdr:cNvPr id="14768"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4770"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19075" y="361950"/>
          <a:ext cx="714375" cy="361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57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786"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276225" y="390525"/>
          <a:ext cx="714375" cy="361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25431" name="Group 41"/>
        <xdr:cNvGrpSpPr>
          <a:grpSpLocks/>
        </xdr:cNvGrpSpPr>
      </xdr:nvGrpSpPr>
      <xdr:grpSpPr bwMode="auto">
        <a:xfrm>
          <a:off x="5543550" y="9201150"/>
          <a:ext cx="85725" cy="0"/>
          <a:chOff x="595" y="540"/>
          <a:chExt cx="9" cy="9"/>
        </a:xfrm>
      </xdr:grpSpPr>
      <xdr:sp macro="" textlink="">
        <xdr:nvSpPr>
          <xdr:cNvPr id="25443"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44"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25432" name="Group 44"/>
        <xdr:cNvGrpSpPr>
          <a:grpSpLocks/>
        </xdr:cNvGrpSpPr>
      </xdr:nvGrpSpPr>
      <xdr:grpSpPr bwMode="auto">
        <a:xfrm>
          <a:off x="6524625" y="9201150"/>
          <a:ext cx="85725" cy="0"/>
          <a:chOff x="698" y="540"/>
          <a:chExt cx="9" cy="9"/>
        </a:xfrm>
      </xdr:grpSpPr>
      <xdr:sp macro="" textlink="">
        <xdr:nvSpPr>
          <xdr:cNvPr id="25441"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2"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25433" name="Group 47"/>
        <xdr:cNvGrpSpPr>
          <a:grpSpLocks/>
        </xdr:cNvGrpSpPr>
      </xdr:nvGrpSpPr>
      <xdr:grpSpPr bwMode="auto">
        <a:xfrm>
          <a:off x="5172075" y="9201150"/>
          <a:ext cx="85725" cy="0"/>
          <a:chOff x="698" y="540"/>
          <a:chExt cx="9" cy="9"/>
        </a:xfrm>
      </xdr:grpSpPr>
      <xdr:sp macro="" textlink="">
        <xdr:nvSpPr>
          <xdr:cNvPr id="25439"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0"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25434" name="Group 50"/>
        <xdr:cNvGrpSpPr>
          <a:grpSpLocks/>
        </xdr:cNvGrpSpPr>
      </xdr:nvGrpSpPr>
      <xdr:grpSpPr bwMode="auto">
        <a:xfrm>
          <a:off x="1438275" y="9201150"/>
          <a:ext cx="85725" cy="0"/>
          <a:chOff x="595" y="540"/>
          <a:chExt cx="9" cy="9"/>
        </a:xfrm>
      </xdr:grpSpPr>
      <xdr:sp macro="" textlink="">
        <xdr:nvSpPr>
          <xdr:cNvPr id="25437"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38"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436"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76200" y="485775"/>
          <a:ext cx="714375" cy="361950"/>
        </a:xfrm>
        <a:prstGeom prst="rect">
          <a:avLst/>
        </a:prstGeom>
        <a:noFill/>
        <a:ln w="9525">
          <a:noFill/>
          <a:miter lim="800000"/>
          <a:headEnd/>
          <a:tailEnd/>
        </a:ln>
      </xdr:spPr>
    </xdr:pic>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4" connectionId="0">
    <xmlCellPr id="1" uniqueName="1">
      <xmlPr mapId="43" xpath="/ns1:Root/ns1:F2/ns1:TB_HIV__Cumulative_Budget__in___" xmlDataType="double"/>
    </xmlCellPr>
  </singleXmlCell>
  <singleXmlCell id="465" r="D45" connectionId="0">
    <xmlCellPr id="1" uniqueName="1">
      <xmlPr mapId="43" xpath="/ns1:Root/ns1:F2/ns1:TB_HIV__Cumulative_Expenditures__in___" xmlDataType="double"/>
    </xmlCellPr>
  </singleXmlCell>
  <singleXmlCell id="466" r="C45" connectionId="0">
    <xmlCellPr id="1" uniqueName="1">
      <xmlPr mapId="43" xpath="/ns1:Root/ns1:F2/ns1:Advocacy__Commun__SocMob_Cumulative_Budget__in___" xmlDataType="double"/>
    </xmlCellPr>
  </singleXmlCell>
  <singleXmlCell id="467" r="D46" connectionId="0">
    <xmlCellPr id="1" uniqueName="1">
      <xmlPr mapId="43" xpath="/ns1:Root/ns1:F2/ns1:Advocacy__Commun__SocMob_Cumulative_Expenditures__in___" xmlDataType="double"/>
    </xmlCellPr>
  </singleXmlCell>
  <singleXmlCell id="468" r="C46" connectionId="0">
    <xmlCellPr id="1" uniqueName="1">
      <xmlPr mapId="43" xpath="/ns1:Root/ns1:F2/ns1:Environ__Community_TB_care__Cumulative_Budget__in___" xmlDataType="double"/>
    </xmlCellPr>
  </singleXmlCell>
  <singleXmlCell id="469" r="D47" connectionId="0">
    <xmlCellPr id="1" uniqueName="1">
      <xmlPr mapId="43" xpath="/ns1:Root/ns1:F2/ns1:Environ__Community_TB_care__Cumulative_Expenditures__in___" xmlDataType="double"/>
    </xmlCellPr>
  </singleXmlCell>
  <singleXmlCell id="470" r="C47" connectionId="0">
    <xmlCellPr id="1" uniqueName="1">
      <xmlPr mapId="43" xpath="/ns1:Root/ns1:F2/ns1:_Cumulative_Budget__in____1" xmlDataType="string"/>
    </xmlCellPr>
  </singleXmlCell>
  <singleXmlCell id="471" r="D48" connectionId="0">
    <xmlCellPr id="1" uniqueName="1">
      <xmlPr mapId="43" xpath="/ns1:Root/ns1:F2/ns1:_Cumulative_Expenditures__in____1" xmlDataType="string"/>
    </xmlCellPr>
  </singleXmlCell>
  <singleXmlCell id="472" r="C48" connectionId="0">
    <xmlCellPr id="1" uniqueName="1">
      <xmlPr mapId="43" xpath="/ns1:Root/ns1:F2/ns1:_Cumulative_Budget__in____2" xmlDataType="string"/>
    </xmlCellPr>
  </singleXmlCell>
  <singleXmlCell id="473" r="D49" connectionId="0">
    <xmlCellPr id="1" uniqueName="1">
      <xmlPr mapId="43" xpath="/ns1:Root/ns1:F2/ns1:_Cumulative_Expenditures__in____2" xmlDataType="string"/>
    </xmlCellPr>
  </singleXmlCell>
  <singleXmlCell id="474" r="C50" connectionId="0">
    <xmlCellPr id="1" uniqueName="1">
      <xmlPr mapId="43" xpath="/ns1:Root/ns1:F2/ns1:_Cumulative_Budget__in___" xmlDataType="string"/>
    </xmlCellPr>
  </singleXmlCell>
  <singleXmlCell id="475" r="D50" connectionId="0">
    <xmlCellPr id="1" uniqueName="1">
      <xmlPr mapId="43" xpath="/ns1:Root/ns1:F2/ns1:_Cumulative_Expenditures__in___" xmlDataType="string"/>
    </xmlCellPr>
  </singleXmlCell>
  <singleXmlCell id="476" r="C56" connectionId="0">
    <xmlCellPr id="1" uniqueName="1">
      <xmlPr mapId="43" xpath="/ns1:Root/ns1:F3/ns1:Disbursed_by_Global_Fund_Prior_to_reporting_period__in___" xmlDataType="double"/>
    </xmlCellPr>
  </singleXmlCell>
  <singleXmlCell id="477" r="D56" connectionId="0">
    <xmlCellPr id="1" uniqueName="1">
      <xmlPr mapId="43" xpath="/ns1:Root/ns1:F3/ns1:Disbursed_by_Global_Fund_Reporting_period__in___" xmlDataType="double"/>
    </xmlCellPr>
  </singleXmlCell>
  <singleXmlCell id="478" r="C57" connectionId="0">
    <xmlCellPr id="1" uniqueName="1">
      <xmlPr mapId="43" xpath="/ns1:Root/ns1:F3/ns1:PR_expenditure_and_disbursement_Prior_to_reporting_period__in___" xmlDataType="double"/>
    </xmlCellPr>
  </singleXmlCell>
  <singleXmlCell id="479" r="D57" connectionId="0">
    <xmlCellPr id="1" uniqueName="1">
      <xmlPr mapId="43" xpath="/ns1:Root/ns1:F3/ns1:PR_expenditure_and_disbursement_Reporting_period__in___" xmlDataType="double"/>
    </xmlCellPr>
  </singleXmlCell>
  <singleXmlCell id="480" r="C58" connectionId="0">
    <xmlCellPr id="1" uniqueName="1">
      <xmlPr mapId="43" xpath="/ns1:Root/ns1:F3/ns1:Disbursed_to_SRs_Prior_to_reporting_period__in___" xmlDataType="double"/>
    </xmlCellPr>
  </singleXmlCell>
  <singleXmlCell id="481" r="D58" connectionId="0">
    <xmlCellPr id="1" uniqueName="1">
      <xmlPr mapId="43" xpath="/ns1:Root/ns1:F3/ns1:Disbursed_to_SRs_Reporting_period__in___" xmlDataType="double"/>
    </xmlCellPr>
  </singleXmlCell>
  <singleXmlCell id="482" r="C59" connectionId="0">
    <xmlCellPr id="1" uniqueName="1">
      <xmlPr mapId="43" xpath="/ns1:Root/ns1:F3/ns1:SR_expenditures_Prior_to_reporting_period__in___" xmlDataType="double"/>
    </xmlCellPr>
  </singleXmlCell>
  <singleXmlCell id="483" r="D59" connectionId="0">
    <xmlCellPr id="1" uniqueName="1">
      <xmlPr mapId="43" xpath="/ns1:Root/ns1:F3/ns1:SR_expenditures_Reporting_period__in___" xmlDataType="double"/>
    </xmlCellPr>
  </singleXmlCell>
  <singleXmlCell id="484" r="C66" connectionId="0">
    <xmlCellPr id="1" uniqueName="1">
      <xmlPr mapId="43" xpath="/ns1:Root/ns1:F4/ns1:Days_taken_to_submit_acceptable_PU_DR_to_LFA_Expected__days_" xmlDataType="double"/>
    </xmlCellPr>
  </singleXmlCell>
  <singleXmlCell id="485" r="D66" connectionId="0">
    <xmlCellPr id="1" uniqueName="1">
      <xmlPr mapId="43" xpath="/ns1:Root/ns1:F4/ns1:Days_taken_to_submit_acceptable_PU_DR_to_LFA_Actual__days_" xmlDataType="double"/>
    </xmlCellPr>
  </singleXmlCell>
  <singleXmlCell id="486" r="C67" connectionId="0">
    <xmlCellPr id="1" uniqueName="1">
      <xmlPr mapId="43" xpath="/ns1:Root/ns1:F4/ns1:Days_taken_for_disbursement_to_reach_PR_Expected__days_" xmlDataType="double"/>
    </xmlCellPr>
  </singleXmlCell>
  <singleXmlCell id="487" r="D67" connectionId="0">
    <xmlCellPr id="1" uniqueName="1">
      <xmlPr mapId="43" xpath="/ns1:Root/ns1:F4/ns1:Days_taken_for_disbursement_to_reach_PR_Actual__days_" xmlDataType="double"/>
    </xmlCellPr>
  </singleXmlCell>
  <singleXmlCell id="488" r="C68" connectionId="0">
    <xmlCellPr id="1" uniqueName="1">
      <xmlPr mapId="43" xpath="/ns1:Root/ns1:F4/ns1:Days_taken_for_disbursement_to_reach_SRs__Expected__days_" xmlDataType="double"/>
    </xmlCellPr>
  </singleXmlCell>
  <singleXmlCell id="489" r="D68" connectionId="0">
    <xmlCellPr id="1" uniqueName="1">
      <xmlPr mapId="43" xpath="/ns1:Root/ns1:F4/ns1:Days_taken_for_disbursement_to_reach_SRs__Actual__days_" xmlDataType="double"/>
    </xmlCellPr>
  </singleXmlCell>
  <singleXmlCell id="490" r="B76" connectionId="0">
    <xmlCellPr id="1" uniqueName="1">
      <xmlPr mapId="43" xpath="/ns1:Root/ns1:M1/ns1:Conditions_precedents__CPs__" xmlDataType="string"/>
    </xmlCellPr>
  </singleXmlCell>
  <singleXmlCell id="491" r="D76" connectionId="0">
    <xmlCellPr id="1" uniqueName="1">
      <xmlPr mapId="43" xpath="/ns1:Root/ns1:M1/ns1:Conditions_precedents__CPs__Fulfilled" xmlDataType="double"/>
    </xmlCellPr>
  </singleXmlCell>
  <singleXmlCell id="492" r="E76" connectionId="0">
    <xmlCellPr id="1" uniqueName="1">
      <xmlPr mapId="43" xpath="/ns1:Root/ns1:M1/ns1:Conditions_precedents__CPs__Not_fulfilled__but_within_deadline" xmlDataType="double"/>
    </xmlCellPr>
  </singleXmlCell>
  <singleXmlCell id="493" r="F76" connectionId="0">
    <xmlCellPr id="1" uniqueName="1">
      <xmlPr mapId="43" xpath="/ns1:Root/ns1:M1/ns1:Conditions_precedents__CPs__Not_fulfilled__and_past_the_deadline" xmlDataType="double"/>
    </xmlCellPr>
  </singleXmlCell>
  <singleXmlCell id="494" r="B77" connectionId="0">
    <xmlCellPr id="1" uniqueName="1">
      <xmlPr mapId="43" xpath="/ns1:Root/ns1:M1/ns1:Time_Bound_Actions__TBAs__" xmlDataType="string"/>
    </xmlCellPr>
  </singleXmlCell>
  <singleXmlCell id="495" r="D77" connectionId="0">
    <xmlCellPr id="1" uniqueName="1">
      <xmlPr mapId="43" xpath="/ns1:Root/ns1:M1/ns1:Time_Bound_Actions__TBAs__Fulfilled" xmlDataType="double"/>
    </xmlCellPr>
  </singleXmlCell>
  <singleXmlCell id="496" r="E77" connectionId="0">
    <xmlCellPr id="1" uniqueName="1">
      <xmlPr mapId="43" xpath="/ns1:Root/ns1:M1/ns1:Time_Bound_Actions__TBAs__Not_fulfilled__but_within_deadline" xmlDataType="string"/>
    </xmlCellPr>
  </singleXmlCell>
  <singleXmlCell id="497" r="F77" connectionId="0">
    <xmlCellPr id="1" uniqueName="1">
      <xmlPr mapId="43" xpath="/ns1:Root/ns1:M1/ns1:Time_Bound_Actions__TBAs__Not_fulfilled__and_past_the_deadline" xmlDataType="double"/>
    </xmlCellPr>
  </singleXmlCell>
  <singleXmlCell id="498" r="C83" connectionId="0">
    <xmlCellPr id="1" uniqueName="1">
      <xmlPr mapId="43" xpath="/ns1:Root/ns1:M2/ns1:PMU_Planned" xmlDataType="double"/>
    </xmlCellPr>
  </singleXmlCell>
  <singleXmlCell id="499" r="D83" connectionId="0">
    <xmlCellPr id="1" uniqueName="1">
      <xmlPr mapId="43" xpath="/ns1:Root/ns1:M2/ns1:PMU_Filled" xmlDataType="double"/>
    </xmlCellPr>
  </singleXmlCell>
  <singleXmlCell id="500" r="C88" connectionId="0">
    <xmlCellPr id="1" uniqueName="1">
      <xmlPr mapId="43" xpath="/ns1:Root/ns1:M3/ns1:SRs_Identified" xmlDataType="double"/>
    </xmlCellPr>
  </singleXmlCell>
  <singleXmlCell id="501" r="D88" connectionId="0">
    <xmlCellPr id="1" uniqueName="1">
      <xmlPr mapId="43" xpath="/ns1:Root/ns1:M3/ns1:SRs_Assessed" xmlDataType="double"/>
    </xmlCellPr>
  </singleXmlCell>
  <singleXmlCell id="502" r="E88" connectionId="0">
    <xmlCellPr id="1" uniqueName="1">
      <xmlPr mapId="43" xpath="/ns1:Root/ns1:M3/ns1:SRs_Approved" xmlDataType="double"/>
    </xmlCellPr>
  </singleXmlCell>
  <singleXmlCell id="503" r="F88" connectionId="0">
    <xmlCellPr id="1" uniqueName="1">
      <xmlPr mapId="43" xpath="/ns1:Root/ns1:M3/ns1:SRs_Signed" xmlDataType="double"/>
    </xmlCellPr>
  </singleXmlCell>
  <singleXmlCell id="504" r="G88" connectionId="0">
    <xmlCellPr id="1" uniqueName="1">
      <xmlPr mapId="43" xpath="/ns1:Root/ns1:M3/ns1:SRs_Receiving_Funding" xmlDataType="double"/>
    </xmlCellPr>
  </singleXmlCell>
  <singleXmlCell id="506" r="C93" connectionId="0">
    <xmlCellPr id="1" uniqueName="1">
      <xmlPr mapId="43" xpath="/ns1:Root/ns1:M4/ns1:SSR_to_SR__IR_____Expected" xmlDataType="string"/>
    </xmlCellPr>
  </singleXmlCell>
  <singleXmlCell id="507" r="D93" connectionId="0">
    <xmlCellPr id="1" uniqueName="1">
      <xmlPr mapId="43" xpath="/ns1:Root/ns1:M4/ns1:SSR_to_SR__IR____Received" xmlDataType="string"/>
    </xmlCellPr>
  </singleXmlCell>
  <singleXmlCell id="509" r="C94" connectionId="0">
    <xmlCellPr id="1" uniqueName="1">
      <xmlPr mapId="43" xpath="/ns1:Root/ns1:M4/ns1:SRs__IRs__to_PR____Expected" xmlDataType="double"/>
    </xmlCellPr>
  </singleXmlCell>
  <singleXmlCell id="510" r="D94" connectionId="0">
    <xmlCellPr id="1" uniqueName="1">
      <xmlPr mapId="43" xpath="/ns1:Root/ns1:M4/ns1:SRs__IRs__to_PR___Received" xmlDataType="double"/>
    </xmlCellPr>
  </singleXmlCell>
  <singleXmlCell id="511" r="C99" connectionId="0">
    <xmlCellPr id="1" uniqueName="1">
      <xmlPr mapId="43" xpath="/ns1:Root/ns1:M5/ns1:Budget_Approved__P1" xmlDataType="double"/>
    </xmlCellPr>
  </singleXmlCell>
  <singleXmlCell id="512" r="D99" connectionId="0">
    <xmlCellPr id="1" uniqueName="1">
      <xmlPr mapId="43" xpath="/ns1:Root/ns1:M5/ns1:Budget_Approved__P2" xmlDataType="double"/>
    </xmlCellPr>
  </singleXmlCell>
  <singleXmlCell id="513" r="E99" connectionId="0">
    <xmlCellPr id="1" uniqueName="1">
      <xmlPr mapId="43" xpath="/ns1:Root/ns1:M5/ns1:Budget_Approved__P3" xmlDataType="double"/>
    </xmlCellPr>
  </singleXmlCell>
  <singleXmlCell id="514" r="F99" connectionId="0">
    <xmlCellPr id="1" uniqueName="1">
      <xmlPr mapId="43" xpath="/ns1:Root/ns1:M5/ns1:Budget_Approved__P4" xmlDataType="double"/>
    </xmlCellPr>
  </singleXmlCell>
  <singleXmlCell id="515" r="G99" connectionId="0">
    <xmlCellPr id="1" uniqueName="1">
      <xmlPr mapId="43" xpath="/ns1:Root/ns1:M5/ns1:Budget_Approved__P5" xmlDataType="double"/>
    </xmlCellPr>
  </singleXmlCell>
  <singleXmlCell id="516" r="H99" connectionId="0">
    <xmlCellPr id="1" uniqueName="1">
      <xmlPr mapId="43" xpath="/ns1:Root/ns1:M5/ns1:Budget_Approved__P6" xmlDataType="double"/>
    </xmlCellPr>
  </singleXmlCell>
  <singleXmlCell id="517" r="I99" connectionId="0">
    <xmlCellPr id="1" uniqueName="1">
      <xmlPr mapId="43" xpath="/ns1:Root/ns1:M5/ns1:Budget_Approved__P7" xmlDataType="double"/>
    </xmlCellPr>
  </singleXmlCell>
  <singleXmlCell id="518" r="J99" connectionId="0">
    <xmlCellPr id="1" uniqueName="1">
      <xmlPr mapId="43" xpath="/ns1:Root/ns1:M5/ns1:Budget_Approved__P8" xmlDataType="double"/>
    </xmlCellPr>
  </singleXmlCell>
  <singleXmlCell id="519" r="K99" connectionId="0">
    <xmlCellPr id="1" uniqueName="1">
      <xmlPr mapId="43" xpath="/ns1:Root/ns1:M5/ns1:Budget_Approved__P9" xmlDataType="double"/>
    </xmlCellPr>
  </singleXmlCell>
  <singleXmlCell id="520" r="L99" connectionId="0">
    <xmlCellPr id="1" uniqueName="1">
      <xmlPr mapId="43" xpath="/ns1:Root/ns1:M5/ns1:Budget_Approved__P10" xmlDataType="double"/>
    </xmlCellPr>
  </singleXmlCell>
  <singleXmlCell id="521" r="M99" connectionId="0">
    <xmlCellPr id="1" uniqueName="1">
      <xmlPr mapId="43" xpath="/ns1:Root/ns1:M5/ns1:Budget_Approved__P11" xmlDataType="double"/>
    </xmlCellPr>
  </singleXmlCell>
  <singleXmlCell id="522" r="N99" connectionId="0">
    <xmlCellPr id="1" uniqueName="1">
      <xmlPr mapId="43" xpath="/ns1:Root/ns1:M5/ns1:Budget_Approved__P12" xmlDataType="double"/>
    </xmlCellPr>
  </singleXmlCell>
  <singleXmlCell id="523" r="C100" connectionId="0">
    <xmlCellPr id="1" uniqueName="1">
      <xmlPr mapId="43" xpath="/ns1:Root/ns1:M5/ns1:Obligations_P1" xmlDataType="double"/>
    </xmlCellPr>
  </singleXmlCell>
  <singleXmlCell id="524" r="D100" connectionId="0">
    <xmlCellPr id="1" uniqueName="1">
      <xmlPr mapId="43" xpath="/ns1:Root/ns1:M5/ns1:Obligations_P2" xmlDataType="double"/>
    </xmlCellPr>
  </singleXmlCell>
  <singleXmlCell id="525" r="E100" connectionId="0">
    <xmlCellPr id="1" uniqueName="1">
      <xmlPr mapId="43" xpath="/ns1:Root/ns1:M5/ns1:Obligations_P3" xmlDataType="double"/>
    </xmlCellPr>
  </singleXmlCell>
  <singleXmlCell id="526" r="F100" connectionId="0">
    <xmlCellPr id="1" uniqueName="1">
      <xmlPr mapId="43" xpath="/ns1:Root/ns1:M5/ns1:Obligations_P4" xmlDataType="double"/>
    </xmlCellPr>
  </singleXmlCell>
  <singleXmlCell id="527" r="G100" connectionId="0">
    <xmlCellPr id="1" uniqueName="1">
      <xmlPr mapId="43" xpath="/ns1:Root/ns1:M5/ns1:Obligations_P5" xmlDataType="double"/>
    </xmlCellPr>
  </singleXmlCell>
  <singleXmlCell id="528" r="H100" connectionId="0">
    <xmlCellPr id="1" uniqueName="1">
      <xmlPr mapId="43" xpath="/ns1:Root/ns1:M5/ns1:Obligations_P6" xmlDataType="double"/>
    </xmlCellPr>
  </singleXmlCell>
  <singleXmlCell id="529" r="I100" connectionId="0">
    <xmlCellPr id="1" uniqueName="1">
      <xmlPr mapId="43" xpath="/ns1:Root/ns1:M5/ns1:Obligations_P7" xmlDataType="double"/>
    </xmlCellPr>
  </singleXmlCell>
  <singleXmlCell id="530" r="J100" connectionId="0">
    <xmlCellPr id="1" uniqueName="1">
      <xmlPr mapId="43" xpath="/ns1:Root/ns1:M5/ns1:Obligations_P8" xmlDataType="double"/>
    </xmlCellPr>
  </singleXmlCell>
  <singleXmlCell id="531" r="K100" connectionId="0">
    <xmlCellPr id="1" uniqueName="1">
      <xmlPr mapId="43" xpath="/ns1:Root/ns1:M5/ns1:Obligations_P9" xmlDataType="double"/>
    </xmlCellPr>
  </singleXmlCell>
  <singleXmlCell id="532" r="L100" connectionId="0">
    <xmlCellPr id="1" uniqueName="1">
      <xmlPr mapId="43" xpath="/ns1:Root/ns1:M5/ns1:Obligations_P10" xmlDataType="double"/>
    </xmlCellPr>
  </singleXmlCell>
  <singleXmlCell id="533" r="M100" connectionId="0">
    <xmlCellPr id="1" uniqueName="1">
      <xmlPr mapId="43" xpath="/ns1:Root/ns1:M5/ns1:Obligations_P11" xmlDataType="double"/>
    </xmlCellPr>
  </singleXmlCell>
  <singleXmlCell id="534" r="N100" connectionId="0">
    <xmlCellPr id="1" uniqueName="1">
      <xmlPr mapId="43" xpath="/ns1:Root/ns1:M5/ns1:Obligations_P12" xmlDataType="double"/>
    </xmlCellPr>
  </singleXmlCell>
  <singleXmlCell id="535" r="C101" connectionId="0">
    <xmlCellPr id="1" uniqueName="1">
      <xmlPr mapId="43" xpath="/ns1:Root/ns1:M5/ns1:Expenditures_P1" xmlDataType="double"/>
    </xmlCellPr>
  </singleXmlCell>
  <singleXmlCell id="536" r="D101" connectionId="0">
    <xmlCellPr id="1" uniqueName="1">
      <xmlPr mapId="43" xpath="/ns1:Root/ns1:M5/ns1:Expenditures_P2" xmlDataType="double"/>
    </xmlCellPr>
  </singleXmlCell>
  <singleXmlCell id="537" r="E101" connectionId="0">
    <xmlCellPr id="1" uniqueName="1">
      <xmlPr mapId="43" xpath="/ns1:Root/ns1:M5/ns1:Expenditures_P3" xmlDataType="double"/>
    </xmlCellPr>
  </singleXmlCell>
  <singleXmlCell id="538" r="F101" connectionId="0">
    <xmlCellPr id="1" uniqueName="1">
      <xmlPr mapId="43" xpath="/ns1:Root/ns1:M5/ns1:Expenditures_P4" xmlDataType="double"/>
    </xmlCellPr>
  </singleXmlCell>
  <singleXmlCell id="539" r="G101" connectionId="0">
    <xmlCellPr id="1" uniqueName="1">
      <xmlPr mapId="43" xpath="/ns1:Root/ns1:M5/ns1:Expenditures_P5" xmlDataType="double"/>
    </xmlCellPr>
  </singleXmlCell>
  <singleXmlCell id="540" r="H101" connectionId="0">
    <xmlCellPr id="1" uniqueName="1">
      <xmlPr mapId="43" xpath="/ns1:Root/ns1:M5/ns1:Expenditures_P6" xmlDataType="double"/>
    </xmlCellPr>
  </singleXmlCell>
  <singleXmlCell id="541" r="I101" connectionId="0">
    <xmlCellPr id="1" uniqueName="1">
      <xmlPr mapId="43" xpath="/ns1:Root/ns1:M5/ns1:Expenditures_P7" xmlDataType="double"/>
    </xmlCellPr>
  </singleXmlCell>
  <singleXmlCell id="542" r="J101" connectionId="0">
    <xmlCellPr id="1" uniqueName="1">
      <xmlPr mapId="43" xpath="/ns1:Root/ns1:M5/ns1:Expenditures_P8" xmlDataType="double"/>
    </xmlCellPr>
  </singleXmlCell>
  <singleXmlCell id="543" r="K101" connectionId="0">
    <xmlCellPr id="1" uniqueName="1">
      <xmlPr mapId="43" xpath="/ns1:Root/ns1:M5/ns1:Expenditures_P9" xmlDataType="double"/>
    </xmlCellPr>
  </singleXmlCell>
  <singleXmlCell id="544" r="L101" connectionId="0">
    <xmlCellPr id="1" uniqueName="1">
      <xmlPr mapId="43" xpath="/ns1:Root/ns1:M5/ns1:Expenditures_P10" xmlDataType="double"/>
    </xmlCellPr>
  </singleXmlCell>
  <singleXmlCell id="545" r="M101" connectionId="0">
    <xmlCellPr id="1" uniqueName="1">
      <xmlPr mapId="43" xpath="/ns1:Root/ns1:M5/ns1:Expenditures_P11" xmlDataType="double"/>
    </xmlCellPr>
  </singleXmlCell>
  <singleXmlCell id="546" r="N101" connectionId="0">
    <xmlCellPr id="1" uniqueName="1">
      <xmlPr mapId="43" xpath="/ns1:Root/ns1:M5/ns1:Expenditures_P12" xmlDataType="double"/>
    </xmlCellPr>
  </singleXmlCell>
  <singleXmlCell id="547" r="C112" connectionId="0">
    <xmlCellPr id="1" uniqueName="1">
      <xmlPr mapId="43" xpath="/ns1:Root/ns1:M6/ns1:HIV___AIDS_Products" xmlDataType="string"/>
    </xmlCellPr>
  </singleXmlCell>
  <singleXmlCell id="548" r="D112" connectionId="0">
    <xmlCellPr id="1" uniqueName="1">
      <xmlPr mapId="43" xpath="/ns1:Root/ns1:M6/ns1:HIV___AIDS__1__Number_of_tablets_per_patient_per_day__Review_country_treatment_guidelines_" xmlDataType="double"/>
    </xmlCellPr>
  </singleXmlCell>
  <singleXmlCell id="549" r="F112" connectionId="0">
    <xmlCellPr id="1" uniqueName="1">
      <xmlPr mapId="43" xpath="/ns1:Root/ns1:M6/ns1:HIV___AIDS__3__Total_patients_in_treatment" xmlDataType="double"/>
    </xmlCellPr>
  </singleXmlCell>
  <singleXmlCell id="550" r="H112" connectionId="0">
    <xmlCellPr id="1" uniqueName="1">
      <xmlPr mapId="43" xpath="/ns1:Root/ns1:M6/ns1:HIV___AIDS__5__Current_stock_in_central_warehouse__that_does_not_expire_within_the_next_3_months_" xmlDataType="double"/>
    </xmlCellPr>
  </singleXmlCell>
  <singleXmlCell id="551" r="J112" connectionId="0">
    <xmlCellPr id="1" uniqueName="1">
      <xmlPr mapId="43" xpath="/ns1:Root/ns1:M6/ns1:HIV___AIDS__7__Level_of_safety_stock__expressed_in_months_and_defined_by_country__" xmlDataType="double"/>
    </xmlCellPr>
  </singleXmlCell>
  <singleXmlCell id="552" r="C113" connectionId="0">
    <xmlCellPr id="1" uniqueName="1">
      <xmlPr mapId="43" xpath="/ns1:Root/ns1:M6/ns1:_Products_1" xmlDataType="string"/>
    </xmlCellPr>
  </singleXmlCell>
  <singleXmlCell id="553" r="D113" connectionId="0">
    <xmlCellPr id="1" uniqueName="1">
      <xmlPr mapId="43" xpath="/ns1:Root/ns1:M6/ns1:__1__Number_of_tablets_per_patient_per_day__Review_country_treatment_guidelines__1" xmlDataType="double"/>
    </xmlCellPr>
  </singleXmlCell>
  <singleXmlCell id="554" r="F113" connectionId="0">
    <xmlCellPr id="1" uniqueName="1">
      <xmlPr mapId="43" xpath="/ns1:Root/ns1:M6/ns1:__3__Total_patients_in_treatment_1" xmlDataType="double"/>
    </xmlCellPr>
  </singleXmlCell>
  <singleXmlCell id="555" r="H113" connectionId="0">
    <xmlCellPr id="1" uniqueName="1">
      <xmlPr mapId="43" xpath="/ns1:Root/ns1:M6/ns1:__5__Current_stock_in_central_warehouse__that_does_not_expire_within_the_next_3_months__1" xmlDataType="double"/>
    </xmlCellPr>
  </singleXmlCell>
  <singleXmlCell id="556" r="J113" connectionId="0">
    <xmlCellPr id="1" uniqueName="1">
      <xmlPr mapId="43" xpath="/ns1:Root/ns1:M6/ns1:__7__Level_of_safety_stock__expressed_in_months_and_defined_by_country___1" xmlDataType="double"/>
    </xmlCellPr>
  </singleXmlCell>
  <singleXmlCell id="557" r="C114" connectionId="0">
    <xmlCellPr id="1" uniqueName="1">
      <xmlPr mapId="43" xpath="/ns1:Root/ns1:M6/ns1:_Products_2" xmlDataType="string"/>
    </xmlCellPr>
  </singleXmlCell>
  <singleXmlCell id="558" r="D114" connectionId="0">
    <xmlCellPr id="1" uniqueName="1">
      <xmlPr mapId="43" xpath="/ns1:Root/ns1:M6/ns1:__1__Number_of_tablets_per_patient_per_day__Review_country_treatment_guidelines__2" xmlDataType="double"/>
    </xmlCellPr>
  </singleXmlCell>
  <singleXmlCell id="559" r="F114" connectionId="0">
    <xmlCellPr id="1" uniqueName="1">
      <xmlPr mapId="43" xpath="/ns1:Root/ns1:M6/ns1:__3__Total_patients_in_treatment_2" xmlDataType="double"/>
    </xmlCellPr>
  </singleXmlCell>
  <singleXmlCell id="560" r="H114" connectionId="0">
    <xmlCellPr id="1" uniqueName="1">
      <xmlPr mapId="43" xpath="/ns1:Root/ns1:M6/ns1:__5__Current_stock_in_central_warehouse__that_does_not_expire_within_the_next_3_months__2" xmlDataType="double"/>
    </xmlCellPr>
  </singleXmlCell>
  <singleXmlCell id="561" r="J114" connectionId="0">
    <xmlCellPr id="1" uniqueName="1">
      <xmlPr mapId="43" xpath="/ns1:Root/ns1:M6/ns1:__7__Level_of_safety_stock__expressed_in_months_and_defined_by_country___2" xmlDataType="double"/>
    </xmlCellPr>
  </singleXmlCell>
  <singleXmlCell id="562" r="C115" connectionId="0">
    <xmlCellPr id="1" uniqueName="1">
      <xmlPr mapId="43" xpath="/ns1:Root/ns1:M6/ns1:_Products" xmlDataType="string"/>
    </xmlCellPr>
  </singleXmlCell>
  <singleXmlCell id="563" r="D115" connectionId="0">
    <xmlCellPr id="1" uniqueName="1">
      <xmlPr mapId="43" xpath="/ns1:Root/ns1:M6/ns1:__1__Number_of_tablets_per_patient_per_day__Review_country_treatment_guidelines_" xmlDataType="double"/>
    </xmlCellPr>
  </singleXmlCell>
  <singleXmlCell id="564" r="F115" connectionId="0">
    <xmlCellPr id="1" uniqueName="1">
      <xmlPr mapId="43" xpath="/ns1:Root/ns1:M6/ns1:__3__Total_patients_in_treatment" xmlDataType="double"/>
    </xmlCellPr>
  </singleXmlCell>
  <singleXmlCell id="565" r="H115" connectionId="0">
    <xmlCellPr id="1" uniqueName="1">
      <xmlPr mapId="43" xpath="/ns1:Root/ns1:M6/ns1:__5__Current_stock_in_central_warehouse__that_does_not_expire_within_the_next_3_months_" xmlDataType="double"/>
    </xmlCellPr>
  </singleXmlCell>
  <singleXmlCell id="566" r="J115" connectionId="0">
    <xmlCellPr id="1" uniqueName="1">
      <xmlPr mapId="43" xpath="/ns1:Root/ns1:M6/ns1:__7__Level_of_safety_stock__expressed_in_months_and_defined_by_country__" xmlDataType="double"/>
    </xmlCellPr>
  </singleXmlCell>
  <singleXmlCell id="567" r="H122" connectionId="0">
    <xmlCellPr id="1" uniqueName="1">
      <xmlPr mapId="43" xpath="/ns1:Root/ns1:Prog/ns1:Target_P1_1" xmlDataType="double"/>
    </xmlCellPr>
  </singleXmlCell>
  <singleXmlCell id="568" r="I122" connectionId="0">
    <xmlCellPr id="1" uniqueName="1">
      <xmlPr mapId="43" xpath="/ns1:Root/ns1:Prog/ns1:Target_P2_1" xmlDataType="double"/>
    </xmlCellPr>
  </singleXmlCell>
  <singleXmlCell id="569" r="J122" connectionId="0">
    <xmlCellPr id="1" uniqueName="1">
      <xmlPr mapId="43" xpath="/ns1:Root/ns1:Prog/ns1:Target_P3_1" xmlDataType="double"/>
    </xmlCellPr>
  </singleXmlCell>
  <singleXmlCell id="570" r="K122" connectionId="0">
    <xmlCellPr id="1" uniqueName="1">
      <xmlPr mapId="43" xpath="/ns1:Root/ns1:Prog/ns1:Target_P4_1" xmlDataType="double"/>
    </xmlCellPr>
  </singleXmlCell>
  <singleXmlCell id="571" r="L122" connectionId="0">
    <xmlCellPr id="1" uniqueName="1">
      <xmlPr mapId="43" xpath="/ns1:Root/ns1:Prog/ns1:Target_P5_1" xmlDataType="double"/>
    </xmlCellPr>
  </singleXmlCell>
  <singleXmlCell id="572" r="M122" connectionId="0">
    <xmlCellPr id="1" uniqueName="1">
      <xmlPr mapId="43" xpath="/ns1:Root/ns1:Prog/ns1:Target_P6_1" xmlDataType="double"/>
    </xmlCellPr>
  </singleXmlCell>
  <singleXmlCell id="573" r="N122" connectionId="0">
    <xmlCellPr id="1" uniqueName="1">
      <xmlPr mapId="43" xpath="/ns1:Root/ns1:Prog/ns1:Target_P7_1" xmlDataType="double"/>
    </xmlCellPr>
  </singleXmlCell>
  <singleXmlCell id="574" r="O122" connectionId="0">
    <xmlCellPr id="1" uniqueName="1">
      <xmlPr mapId="43" xpath="/ns1:Root/ns1:Prog/ns1:Target_P8_1" xmlDataType="double"/>
    </xmlCellPr>
  </singleXmlCell>
  <singleXmlCell id="575" r="P122" connectionId="0">
    <xmlCellPr id="1" uniqueName="1">
      <xmlPr mapId="43" xpath="/ns1:Root/ns1:Prog/ns1:Target_P9_1" xmlDataType="double"/>
    </xmlCellPr>
  </singleXmlCell>
  <singleXmlCell id="576" r="Q122" connectionId="0">
    <xmlCellPr id="1" uniqueName="1">
      <xmlPr mapId="43" xpath="/ns1:Root/ns1:Prog/ns1:Target_P10_1" xmlDataType="double"/>
    </xmlCellPr>
  </singleXmlCell>
  <singleXmlCell id="577" r="R122" connectionId="0">
    <xmlCellPr id="1" uniqueName="1">
      <xmlPr mapId="43" xpath="/ns1:Root/ns1:Prog/ns1:Target_P11_1" xmlDataType="double"/>
    </xmlCellPr>
  </singleXmlCell>
  <singleXmlCell id="578" r="S122" connectionId="0">
    <xmlCellPr id="1" uniqueName="1">
      <xmlPr mapId="43" xpath="/ns1:Root/ns1:Prog/ns1:Target_P12_1" xmlDataType="double"/>
    </xmlCellPr>
  </singleXmlCell>
  <singleXmlCell id="579" r="H123" connectionId="0">
    <xmlCellPr id="1" uniqueName="1">
      <xmlPr mapId="43" xpath="/ns1:Root/ns1:Prog/ns1:Achieved__P1_1" xmlDataType="double"/>
    </xmlCellPr>
  </singleXmlCell>
  <singleXmlCell id="580" r="I123" connectionId="0">
    <xmlCellPr id="1" uniqueName="1">
      <xmlPr mapId="43" xpath="/ns1:Root/ns1:Prog/ns1:Achieved__P2_1" xmlDataType="double"/>
    </xmlCellPr>
  </singleXmlCell>
  <singleXmlCell id="581" r="J123" connectionId="0">
    <xmlCellPr id="1" uniqueName="1">
      <xmlPr mapId="43" xpath="/ns1:Root/ns1:Prog/ns1:Achieved__P3_1" xmlDataType="double"/>
    </xmlCellPr>
  </singleXmlCell>
  <singleXmlCell id="582" r="K123" connectionId="0">
    <xmlCellPr id="1" uniqueName="1">
      <xmlPr mapId="43" xpath="/ns1:Root/ns1:Prog/ns1:Achieved__P4_1" xmlDataType="double"/>
    </xmlCellPr>
  </singleXmlCell>
  <singleXmlCell id="583" r="L123" connectionId="0">
    <xmlCellPr id="1" uniqueName="1">
      <xmlPr mapId="43" xpath="/ns1:Root/ns1:Prog/ns1:Achieved__P5_1" xmlDataType="string"/>
    </xmlCellPr>
  </singleXmlCell>
  <singleXmlCell id="584" r="M123" connectionId="0">
    <xmlCellPr id="1" uniqueName="1">
      <xmlPr mapId="43" xpath="/ns1:Root/ns1:Prog/ns1:Achieved__P6_1" xmlDataType="string"/>
    </xmlCellPr>
  </singleXmlCell>
  <singleXmlCell id="585" r="N123" connectionId="0">
    <xmlCellPr id="1" uniqueName="1">
      <xmlPr mapId="43" xpath="/ns1:Root/ns1:Prog/ns1:Achieved__P7_1" xmlDataType="string"/>
    </xmlCellPr>
  </singleXmlCell>
  <singleXmlCell id="587" r="P123" connectionId="0">
    <xmlCellPr id="1" uniqueName="1">
      <xmlPr mapId="43" xpath="/ns1:Root/ns1:Prog/ns1:Achieved__P9_1" xmlDataType="string"/>
    </xmlCellPr>
  </singleXmlCell>
  <singleXmlCell id="588" r="Q123" connectionId="0">
    <xmlCellPr id="1" uniqueName="1">
      <xmlPr mapId="43" xpath="/ns1:Root/ns1:Prog/ns1:Achieved__P10_1" xmlDataType="string"/>
    </xmlCellPr>
  </singleXmlCell>
  <singleXmlCell id="589" r="R123" connectionId="0">
    <xmlCellPr id="1" uniqueName="1">
      <xmlPr mapId="43" xpath="/ns1:Root/ns1:Prog/ns1:Achieved__P11_1" xmlDataType="string"/>
    </xmlCellPr>
  </singleXmlCell>
  <singleXmlCell id="590" r="S123" connectionId="0">
    <xmlCellPr id="1" uniqueName="1">
      <xmlPr mapId="43" xpath="/ns1:Root/ns1:Prog/ns1:Achieved__P12_1" xmlDataType="string"/>
    </xmlCellPr>
  </singleXmlCell>
  <singleXmlCell id="591" r="H124" connectionId="0">
    <xmlCellPr id="1" uniqueName="1">
      <xmlPr mapId="43" xpath="/ns1:Root/ns1:Prog/ns1:Target_P1_2" xmlDataType="double"/>
    </xmlCellPr>
  </singleXmlCell>
  <singleXmlCell id="592" r="I124" connectionId="0">
    <xmlCellPr id="1" uniqueName="1">
      <xmlPr mapId="43" xpath="/ns1:Root/ns1:Prog/ns1:Target_P2_2" xmlDataType="double"/>
    </xmlCellPr>
  </singleXmlCell>
  <singleXmlCell id="593" r="J124" connectionId="0">
    <xmlCellPr id="1" uniqueName="1">
      <xmlPr mapId="43" xpath="/ns1:Root/ns1:Prog/ns1:Target_P3_2" xmlDataType="double"/>
    </xmlCellPr>
  </singleXmlCell>
  <singleXmlCell id="594" r="L124" connectionId="0">
    <xmlCellPr id="1" uniqueName="1">
      <xmlPr mapId="43" xpath="/ns1:Root/ns1:Prog/ns1:Target_P5_2" xmlDataType="double"/>
    </xmlCellPr>
  </singleXmlCell>
  <singleXmlCell id="595" r="M124" connectionId="0">
    <xmlCellPr id="1" uniqueName="1">
      <xmlPr mapId="43" xpath="/ns1:Root/ns1:Prog/ns1:Target_P6_2" xmlDataType="double"/>
    </xmlCellPr>
  </singleXmlCell>
  <singleXmlCell id="596" r="N124" connectionId="0">
    <xmlCellPr id="1" uniqueName="1">
      <xmlPr mapId="43" xpath="/ns1:Root/ns1:Prog/ns1:Target_P7_2" xmlDataType="double"/>
    </xmlCellPr>
  </singleXmlCell>
  <singleXmlCell id="598" r="P124" connectionId="0">
    <xmlCellPr id="1" uniqueName="1">
      <xmlPr mapId="43" xpath="/ns1:Root/ns1:Prog/ns1:Target_P9_2" xmlDataType="double"/>
    </xmlCellPr>
  </singleXmlCell>
  <singleXmlCell id="599" r="Q124" connectionId="0">
    <xmlCellPr id="1" uniqueName="1">
      <xmlPr mapId="43" xpath="/ns1:Root/ns1:Prog/ns1:Target_P10_2" xmlDataType="double"/>
    </xmlCellPr>
  </singleXmlCell>
  <singleXmlCell id="600" r="R124" connectionId="0">
    <xmlCellPr id="1" uniqueName="1">
      <xmlPr mapId="43" xpath="/ns1:Root/ns1:Prog/ns1:Target_P11_2" xmlDataType="double"/>
    </xmlCellPr>
  </singleXmlCell>
  <singleXmlCell id="601" r="S124" connectionId="0">
    <xmlCellPr id="1" uniqueName="1">
      <xmlPr mapId="43" xpath="/ns1:Root/ns1:Prog/ns1:Target_P12_2" xmlDataType="double"/>
    </xmlCellPr>
  </singleXmlCell>
  <singleXmlCell id="602" r="H125" connectionId="0">
    <xmlCellPr id="1" uniqueName="1">
      <xmlPr mapId="43" xpath="/ns1:Root/ns1:Prog/ns1:Achieved__P1_2" xmlDataType="double"/>
    </xmlCellPr>
  </singleXmlCell>
  <singleXmlCell id="603" r="I125" connectionId="0">
    <xmlCellPr id="1" uniqueName="1">
      <xmlPr mapId="43" xpath="/ns1:Root/ns1:Prog/ns1:Achieved__P2_2" xmlDataType="double"/>
    </xmlCellPr>
  </singleXmlCell>
  <singleXmlCell id="604" r="J125" connectionId="0">
    <xmlCellPr id="1" uniqueName="1">
      <xmlPr mapId="43" xpath="/ns1:Root/ns1:Prog/ns1:Achieved__P3_2" xmlDataType="double"/>
    </xmlCellPr>
  </singleXmlCell>
  <singleXmlCell id="605" r="K125" connectionId="0">
    <xmlCellPr id="1" uniqueName="1">
      <xmlPr mapId="43" xpath="/ns1:Root/ns1:Prog/ns1:Achieved__P4_2" xmlDataType="double"/>
    </xmlCellPr>
  </singleXmlCell>
  <singleXmlCell id="606" r="L125" connectionId="0">
    <xmlCellPr id="1" uniqueName="1">
      <xmlPr mapId="43" xpath="/ns1:Root/ns1:Prog/ns1:Achieved__P5_2" xmlDataType="string"/>
    </xmlCellPr>
  </singleXmlCell>
  <singleXmlCell id="607" r="M125" connectionId="0">
    <xmlCellPr id="1" uniqueName="1">
      <xmlPr mapId="43" xpath="/ns1:Root/ns1:Prog/ns1:Achieved__P6_2" xmlDataType="string"/>
    </xmlCellPr>
  </singleXmlCell>
  <singleXmlCell id="608" r="N125" connectionId="0">
    <xmlCellPr id="1" uniqueName="1">
      <xmlPr mapId="43" xpath="/ns1:Root/ns1:Prog/ns1:Achieved__P7_2" xmlDataType="string"/>
    </xmlCellPr>
  </singleXmlCell>
  <singleXmlCell id="610" r="P125" connectionId="0">
    <xmlCellPr id="1" uniqueName="1">
      <xmlPr mapId="43" xpath="/ns1:Root/ns1:Prog/ns1:Achieved__P9_2" xmlDataType="string"/>
    </xmlCellPr>
  </singleXmlCell>
  <singleXmlCell id="611" r="Q125" connectionId="0">
    <xmlCellPr id="1" uniqueName="1">
      <xmlPr mapId="43" xpath="/ns1:Root/ns1:Prog/ns1:Achieved__P10_2" xmlDataType="string"/>
    </xmlCellPr>
  </singleXmlCell>
  <singleXmlCell id="612" r="R125" connectionId="0">
    <xmlCellPr id="1" uniqueName="1">
      <xmlPr mapId="43" xpath="/ns1:Root/ns1:Prog/ns1:Achieved__P11_2" xmlDataType="string"/>
    </xmlCellPr>
  </singleXmlCell>
  <singleXmlCell id="613" r="S125" connectionId="0">
    <xmlCellPr id="1" uniqueName="1">
      <xmlPr mapId="43" xpath="/ns1:Root/ns1:Prog/ns1:Achieved__P12_2" xmlDataType="string"/>
    </xmlCellPr>
  </singleXmlCell>
  <singleXmlCell id="614" r="H126" connectionId="0">
    <xmlCellPr id="1" uniqueName="1">
      <xmlPr mapId="43" xpath="/ns1:Root/ns1:Prog/ns1:Target_P1_3" xmlDataType="double"/>
    </xmlCellPr>
  </singleXmlCell>
  <singleXmlCell id="615" r="I126" connectionId="0">
    <xmlCellPr id="1" uniqueName="1">
      <xmlPr mapId="43" xpath="/ns1:Root/ns1:Prog/ns1:Target_P2_3" xmlDataType="double"/>
    </xmlCellPr>
  </singleXmlCell>
  <singleXmlCell id="616" r="J126" connectionId="0">
    <xmlCellPr id="1" uniqueName="1">
      <xmlPr mapId="43" xpath="/ns1:Root/ns1:Prog/ns1:Target_P3_3" xmlDataType="double"/>
    </xmlCellPr>
  </singleXmlCell>
  <singleXmlCell id="617" r="K126" connectionId="0">
    <xmlCellPr id="1" uniqueName="1">
      <xmlPr mapId="43" xpath="/ns1:Root/ns1:Prog/ns1:Target_P4_3" xmlDataType="double"/>
    </xmlCellPr>
  </singleXmlCell>
  <singleXmlCell id="618" r="L126" connectionId="0">
    <xmlCellPr id="1" uniqueName="1">
      <xmlPr mapId="43" xpath="/ns1:Root/ns1:Prog/ns1:Target_P5_3" xmlDataType="double"/>
    </xmlCellPr>
  </singleXmlCell>
  <singleXmlCell id="619" r="M126" connectionId="0">
    <xmlCellPr id="1" uniqueName="1">
      <xmlPr mapId="43" xpath="/ns1:Root/ns1:Prog/ns1:Target_P6_3" xmlDataType="double"/>
    </xmlCellPr>
  </singleXmlCell>
  <singleXmlCell id="620" r="N126" connectionId="0">
    <xmlCellPr id="1" uniqueName="1">
      <xmlPr mapId="43" xpath="/ns1:Root/ns1:Prog/ns1:Target_P7_3" xmlDataType="double"/>
    </xmlCellPr>
  </singleXmlCell>
  <singleXmlCell id="622" r="P126" connectionId="0">
    <xmlCellPr id="1" uniqueName="1">
      <xmlPr mapId="43" xpath="/ns1:Root/ns1:Prog/ns1:Target_P9_3" xmlDataType="double"/>
    </xmlCellPr>
  </singleXmlCell>
  <singleXmlCell id="623" r="Q126" connectionId="0">
    <xmlCellPr id="1" uniqueName="1">
      <xmlPr mapId="43" xpath="/ns1:Root/ns1:Prog/ns1:Target_P10_3" xmlDataType="string"/>
    </xmlCellPr>
  </singleXmlCell>
  <singleXmlCell id="624" r="R126" connectionId="0">
    <xmlCellPr id="1" uniqueName="1">
      <xmlPr mapId="43" xpath="/ns1:Root/ns1:Prog/ns1:Target_P11_3" xmlDataType="string"/>
    </xmlCellPr>
  </singleXmlCell>
  <singleXmlCell id="625" r="S126" connectionId="0">
    <xmlCellPr id="1" uniqueName="1">
      <xmlPr mapId="43" xpath="/ns1:Root/ns1:Prog/ns1:Target_P12_3" xmlDataType="double"/>
    </xmlCellPr>
  </singleXmlCell>
  <singleXmlCell id="626" r="H127" connectionId="0">
    <xmlCellPr id="1" uniqueName="1">
      <xmlPr mapId="43" xpath="/ns1:Root/ns1:Prog/ns1:Achieved__P1_3" xmlDataType="string"/>
    </xmlCellPr>
  </singleXmlCell>
  <singleXmlCell id="627" r="I127" connectionId="0">
    <xmlCellPr id="1" uniqueName="1">
      <xmlPr mapId="43" xpath="/ns1:Root/ns1:Prog/ns1:Achieved__P2_3" xmlDataType="double"/>
    </xmlCellPr>
  </singleXmlCell>
  <singleXmlCell id="628" r="J127" connectionId="0">
    <xmlCellPr id="1" uniqueName="1">
      <xmlPr mapId="43" xpath="/ns1:Root/ns1:Prog/ns1:Achieved__P3_3" xmlDataType="string"/>
    </xmlCellPr>
  </singleXmlCell>
  <singleXmlCell id="629" r="K127" connectionId="0">
    <xmlCellPr id="1" uniqueName="1">
      <xmlPr mapId="43" xpath="/ns1:Root/ns1:Prog/ns1:Achieved__P4_3" xmlDataType="double"/>
    </xmlCellPr>
  </singleXmlCell>
  <singleXmlCell id="630" r="L127" connectionId="0">
    <xmlCellPr id="1" uniqueName="1">
      <xmlPr mapId="43" xpath="/ns1:Root/ns1:Prog/ns1:Achieved__P5_3" xmlDataType="string"/>
    </xmlCellPr>
  </singleXmlCell>
  <singleXmlCell id="631" r="M127" connectionId="0">
    <xmlCellPr id="1" uniqueName="1">
      <xmlPr mapId="43" xpath="/ns1:Root/ns1:Prog/ns1:Achieved__P6_3" xmlDataType="string"/>
    </xmlCellPr>
  </singleXmlCell>
  <singleXmlCell id="632" r="N127" connectionId="0">
    <xmlCellPr id="1" uniqueName="1">
      <xmlPr mapId="43" xpath="/ns1:Root/ns1:Prog/ns1:Achieved__P7_3" xmlDataType="string"/>
    </xmlCellPr>
  </singleXmlCell>
  <singleXmlCell id="634" r="P127" connectionId="0">
    <xmlCellPr id="1" uniqueName="1">
      <xmlPr mapId="43" xpath="/ns1:Root/ns1:Prog/ns1:Achieved__P9_3" xmlDataType="string"/>
    </xmlCellPr>
  </singleXmlCell>
  <singleXmlCell id="635" r="Q127" connectionId="0">
    <xmlCellPr id="1" uniqueName="1">
      <xmlPr mapId="43" xpath="/ns1:Root/ns1:Prog/ns1:Achieved__P10_3" xmlDataType="string"/>
    </xmlCellPr>
  </singleXmlCell>
  <singleXmlCell id="636" r="R127" connectionId="0">
    <xmlCellPr id="1" uniqueName="1">
      <xmlPr mapId="43" xpath="/ns1:Root/ns1:Prog/ns1:Achieved__P11_3" xmlDataType="string"/>
    </xmlCellPr>
  </singleXmlCell>
  <singleXmlCell id="637" r="S127" connectionId="0">
    <xmlCellPr id="1" uniqueName="1">
      <xmlPr mapId="43" xpath="/ns1:Root/ns1:Prog/ns1:Achieved__P12_3" xmlDataType="string"/>
    </xmlCellPr>
  </singleXmlCell>
  <singleXmlCell id="638" r="H128" connectionId="0">
    <xmlCellPr id="1" uniqueName="1">
      <xmlPr mapId="43" xpath="/ns1:Root/ns1:Prog/ns1:Target_P1_4" xmlDataType="string"/>
    </xmlCellPr>
  </singleXmlCell>
  <singleXmlCell id="639" r="I128" connectionId="0">
    <xmlCellPr id="1" uniqueName="1">
      <xmlPr mapId="43" xpath="/ns1:Root/ns1:Prog/ns1:Target_P2_4" xmlDataType="string"/>
    </xmlCellPr>
  </singleXmlCell>
  <singleXmlCell id="640" r="J128" connectionId="0">
    <xmlCellPr id="1" uniqueName="1">
      <xmlPr mapId="43" xpath="/ns1:Root/ns1:Prog/ns1:Target_P3_4" xmlDataType="string"/>
    </xmlCellPr>
  </singleXmlCell>
  <singleXmlCell id="641" r="K128" connectionId="0">
    <xmlCellPr id="1" uniqueName="1">
      <xmlPr mapId="43" xpath="/ns1:Root/ns1:Prog/ns1:Target_P4_4" xmlDataType="double"/>
    </xmlCellPr>
  </singleXmlCell>
  <singleXmlCell id="642" r="L128" connectionId="0">
    <xmlCellPr id="1" uniqueName="1">
      <xmlPr mapId="43" xpath="/ns1:Root/ns1:Prog/ns1:Target_P5_4" xmlDataType="string"/>
    </xmlCellPr>
  </singleXmlCell>
  <singleXmlCell id="643" r="M128" connectionId="0">
    <xmlCellPr id="1" uniqueName="1">
      <xmlPr mapId="43" xpath="/ns1:Root/ns1:Prog/ns1:Target_P6_4" xmlDataType="string"/>
    </xmlCellPr>
  </singleXmlCell>
  <singleXmlCell id="644" r="N128" connectionId="0">
    <xmlCellPr id="1" uniqueName="1">
      <xmlPr mapId="43" xpath="/ns1:Root/ns1:Prog/ns1:Target_P7_4" xmlDataType="string"/>
    </xmlCellPr>
  </singleXmlCell>
  <singleXmlCell id="646" r="P128" connectionId="0">
    <xmlCellPr id="1" uniqueName="1">
      <xmlPr mapId="43" xpath="/ns1:Root/ns1:Prog/ns1:Target_P9_4" xmlDataType="string"/>
    </xmlCellPr>
  </singleXmlCell>
  <singleXmlCell id="647" r="Q128" connectionId="0">
    <xmlCellPr id="1" uniqueName="1">
      <xmlPr mapId="43" xpath="/ns1:Root/ns1:Prog/ns1:Target_P10_4" xmlDataType="string"/>
    </xmlCellPr>
  </singleXmlCell>
  <singleXmlCell id="648" r="R128" connectionId="0">
    <xmlCellPr id="1" uniqueName="1">
      <xmlPr mapId="43" xpath="/ns1:Root/ns1:Prog/ns1:Target_P11_4" xmlDataType="string"/>
    </xmlCellPr>
  </singleXmlCell>
  <singleXmlCell id="649" r="S128" connectionId="0">
    <xmlCellPr id="1" uniqueName="1">
      <xmlPr mapId="43" xpath="/ns1:Root/ns1:Prog/ns1:Target_P12_4" xmlDataType="double"/>
    </xmlCellPr>
  </singleXmlCell>
  <singleXmlCell id="650" r="H129" connectionId="0">
    <xmlCellPr id="1" uniqueName="1">
      <xmlPr mapId="43" xpath="/ns1:Root/ns1:Prog/ns1:Achieved__P1_4" xmlDataType="string"/>
    </xmlCellPr>
  </singleXmlCell>
  <singleXmlCell id="651" r="I129" connectionId="0">
    <xmlCellPr id="1" uniqueName="1">
      <xmlPr mapId="43" xpath="/ns1:Root/ns1:Prog/ns1:Achieved__P2_4" xmlDataType="string"/>
    </xmlCellPr>
  </singleXmlCell>
  <singleXmlCell id="652" r="J129" connectionId="0">
    <xmlCellPr id="1" uniqueName="1">
      <xmlPr mapId="43" xpath="/ns1:Root/ns1:Prog/ns1:Achieved__P3_4" xmlDataType="string"/>
    </xmlCellPr>
  </singleXmlCell>
  <singleXmlCell id="653" r="K129" connectionId="0">
    <xmlCellPr id="1" uniqueName="1">
      <xmlPr mapId="43" xpath="/ns1:Root/ns1:Prog/ns1:Achieved__P4_4" xmlDataType="double"/>
    </xmlCellPr>
  </singleXmlCell>
  <singleXmlCell id="654" r="L129" connectionId="0">
    <xmlCellPr id="1" uniqueName="1">
      <xmlPr mapId="43" xpath="/ns1:Root/ns1:Prog/ns1:Achieved__P5_4" xmlDataType="string"/>
    </xmlCellPr>
  </singleXmlCell>
  <singleXmlCell id="655" r="M129" connectionId="0">
    <xmlCellPr id="1" uniqueName="1">
      <xmlPr mapId="43" xpath="/ns1:Root/ns1:Prog/ns1:Achieved__P6_4" xmlDataType="string"/>
    </xmlCellPr>
  </singleXmlCell>
  <singleXmlCell id="656" r="N129" connectionId="0">
    <xmlCellPr id="1" uniqueName="1">
      <xmlPr mapId="43" xpath="/ns1:Root/ns1:Prog/ns1:Achieved__P7_4" xmlDataType="string"/>
    </xmlCellPr>
  </singleXmlCell>
  <singleXmlCell id="658" r="P129" connectionId="0">
    <xmlCellPr id="1" uniqueName="1">
      <xmlPr mapId="43" xpath="/ns1:Root/ns1:Prog/ns1:Achieved__P9_4" xmlDataType="string"/>
    </xmlCellPr>
  </singleXmlCell>
  <singleXmlCell id="659" r="Q129" connectionId="0">
    <xmlCellPr id="1" uniqueName="1">
      <xmlPr mapId="43" xpath="/ns1:Root/ns1:Prog/ns1:Achieved__P10_4" xmlDataType="string"/>
    </xmlCellPr>
  </singleXmlCell>
  <singleXmlCell id="660" r="R129" connectionId="0">
    <xmlCellPr id="1" uniqueName="1">
      <xmlPr mapId="43" xpath="/ns1:Root/ns1:Prog/ns1:Achieved__P11_4" xmlDataType="string"/>
    </xmlCellPr>
  </singleXmlCell>
  <singleXmlCell id="661" r="S129" connectionId="0">
    <xmlCellPr id="1" uniqueName="1">
      <xmlPr mapId="43" xpath="/ns1:Root/ns1:Prog/ns1:Achieved__P12_4" xmlDataType="string"/>
    </xmlCellPr>
  </singleXmlCell>
  <singleXmlCell id="662" r="H130" connectionId="0">
    <xmlCellPr id="1" uniqueName="1">
      <xmlPr mapId="43" xpath="/ns1:Root/ns1:Prog/ns1:Target_P1_5" xmlDataType="double"/>
    </xmlCellPr>
  </singleXmlCell>
  <singleXmlCell id="663" r="I130" connectionId="0">
    <xmlCellPr id="1" uniqueName="1">
      <xmlPr mapId="43" xpath="/ns1:Root/ns1:Prog/ns1:Target_P2_5" xmlDataType="double"/>
    </xmlCellPr>
  </singleXmlCell>
  <singleXmlCell id="664" r="J130" connectionId="0">
    <xmlCellPr id="1" uniqueName="1">
      <xmlPr mapId="43" xpath="/ns1:Root/ns1:Prog/ns1:Target_P3_5" xmlDataType="double"/>
    </xmlCellPr>
  </singleXmlCell>
  <singleXmlCell id="665" r="K130" connectionId="0">
    <xmlCellPr id="1" uniqueName="1">
      <xmlPr mapId="43" xpath="/ns1:Root/ns1:Prog/ns1:Target_P4_5" xmlDataType="double"/>
    </xmlCellPr>
  </singleXmlCell>
  <singleXmlCell id="666" r="L130" connectionId="0">
    <xmlCellPr id="1" uniqueName="1">
      <xmlPr mapId="43" xpath="/ns1:Root/ns1:Prog/ns1:Target_P5_5" xmlDataType="double"/>
    </xmlCellPr>
  </singleXmlCell>
  <singleXmlCell id="667" r="M130" connectionId="0">
    <xmlCellPr id="1" uniqueName="1">
      <xmlPr mapId="43" xpath="/ns1:Root/ns1:Prog/ns1:Target_P6_5" xmlDataType="double"/>
    </xmlCellPr>
  </singleXmlCell>
  <singleXmlCell id="668" r="N130" connectionId="0">
    <xmlCellPr id="1" uniqueName="1">
      <xmlPr mapId="43" xpath="/ns1:Root/ns1:Prog/ns1:Target_P7_5" xmlDataType="double"/>
    </xmlCellPr>
  </singleXmlCell>
  <singleXmlCell id="670" r="P130" connectionId="0">
    <xmlCellPr id="1" uniqueName="1">
      <xmlPr mapId="43" xpath="/ns1:Root/ns1:Prog/ns1:Target_P9_5" xmlDataType="double"/>
    </xmlCellPr>
  </singleXmlCell>
  <singleXmlCell id="671" r="Q130" connectionId="0">
    <xmlCellPr id="1" uniqueName="1">
      <xmlPr mapId="43" xpath="/ns1:Root/ns1:Prog/ns1:Target_P10_5" xmlDataType="double"/>
    </xmlCellPr>
  </singleXmlCell>
  <singleXmlCell id="672" r="R130" connectionId="0">
    <xmlCellPr id="1" uniqueName="1">
      <xmlPr mapId="43" xpath="/ns1:Root/ns1:Prog/ns1:Target_P11_5" xmlDataType="double"/>
    </xmlCellPr>
  </singleXmlCell>
  <singleXmlCell id="673" r="S130" connectionId="0">
    <xmlCellPr id="1" uniqueName="1">
      <xmlPr mapId="43" xpath="/ns1:Root/ns1:Prog/ns1:Target_P12_5" xmlDataType="double"/>
    </xmlCellPr>
  </singleXmlCell>
  <singleXmlCell id="674" r="H131" connectionId="0">
    <xmlCellPr id="1" uniqueName="1">
      <xmlPr mapId="43" xpath="/ns1:Root/ns1:Prog/ns1:Achieved__P1_5" xmlDataType="double"/>
    </xmlCellPr>
  </singleXmlCell>
  <singleXmlCell id="675" r="I131" connectionId="0">
    <xmlCellPr id="1" uniqueName="1">
      <xmlPr mapId="43" xpath="/ns1:Root/ns1:Prog/ns1:Achieved__P2_5" xmlDataType="double"/>
    </xmlCellPr>
  </singleXmlCell>
  <singleXmlCell id="676" r="J131" connectionId="0">
    <xmlCellPr id="1" uniqueName="1">
      <xmlPr mapId="43" xpath="/ns1:Root/ns1:Prog/ns1:Achieved__P3_5" xmlDataType="double"/>
    </xmlCellPr>
  </singleXmlCell>
  <singleXmlCell id="677" r="K131" connectionId="0">
    <xmlCellPr id="1" uniqueName="1">
      <xmlPr mapId="43" xpath="/ns1:Root/ns1:Prog/ns1:Achieved__P4_5" xmlDataType="double"/>
    </xmlCellPr>
  </singleXmlCell>
  <singleXmlCell id="678" r="L131" connectionId="0">
    <xmlCellPr id="1" uniqueName="1">
      <xmlPr mapId="43" xpath="/ns1:Root/ns1:Prog/ns1:Achieved__P5_5" xmlDataType="string"/>
    </xmlCellPr>
  </singleXmlCell>
  <singleXmlCell id="679" r="M131" connectionId="0">
    <xmlCellPr id="1" uniqueName="1">
      <xmlPr mapId="43" xpath="/ns1:Root/ns1:Prog/ns1:Achieved__P6_5" xmlDataType="string"/>
    </xmlCellPr>
  </singleXmlCell>
  <singleXmlCell id="680" r="N131" connectionId="0">
    <xmlCellPr id="1" uniqueName="1">
      <xmlPr mapId="43" xpath="/ns1:Root/ns1:Prog/ns1:Achieved__P7_5" xmlDataType="string"/>
    </xmlCellPr>
  </singleXmlCell>
  <singleXmlCell id="682" r="P131" connectionId="0">
    <xmlCellPr id="1" uniqueName="1">
      <xmlPr mapId="43" xpath="/ns1:Root/ns1:Prog/ns1:Achieved__P9_5" xmlDataType="string"/>
    </xmlCellPr>
  </singleXmlCell>
  <singleXmlCell id="683" r="Q131" connectionId="0">
    <xmlCellPr id="1" uniqueName="1">
      <xmlPr mapId="43" xpath="/ns1:Root/ns1:Prog/ns1:Achieved__P10_5" xmlDataType="string"/>
    </xmlCellPr>
  </singleXmlCell>
  <singleXmlCell id="684" r="R131" connectionId="0">
    <xmlCellPr id="1" uniqueName="1">
      <xmlPr mapId="43" xpath="/ns1:Root/ns1:Prog/ns1:Achieved__P11_5" xmlDataType="string"/>
    </xmlCellPr>
  </singleXmlCell>
  <singleXmlCell id="685" r="S131" connectionId="0">
    <xmlCellPr id="1" uniqueName="1">
      <xmlPr mapId="43" xpath="/ns1:Root/ns1:Prog/ns1:Achieved__P12_5" xmlDataType="string"/>
    </xmlCellPr>
  </singleXmlCell>
  <singleXmlCell id="686" r="H132" connectionId="0">
    <xmlCellPr id="1" uniqueName="1">
      <xmlPr mapId="43" xpath="/ns1:Root/ns1:Prog/ns1:Target_P1_6" xmlDataType="double"/>
    </xmlCellPr>
  </singleXmlCell>
  <singleXmlCell id="687" r="I132" connectionId="0">
    <xmlCellPr id="1" uniqueName="1">
      <xmlPr mapId="43" xpath="/ns1:Root/ns1:Prog/ns1:Target_P2_6" xmlDataType="double"/>
    </xmlCellPr>
  </singleXmlCell>
  <singleXmlCell id="688" r="J132" connectionId="0">
    <xmlCellPr id="1" uniqueName="1">
      <xmlPr mapId="43" xpath="/ns1:Root/ns1:Prog/ns1:Target_P3_6" xmlDataType="double"/>
    </xmlCellPr>
  </singleXmlCell>
  <singleXmlCell id="689" r="K132" connectionId="0">
    <xmlCellPr id="1" uniqueName="1">
      <xmlPr mapId="43" xpath="/ns1:Root/ns1:Prog/ns1:Target_P4_6" xmlDataType="double"/>
    </xmlCellPr>
  </singleXmlCell>
  <singleXmlCell id="690" r="L132" connectionId="0">
    <xmlCellPr id="1" uniqueName="1">
      <xmlPr mapId="43" xpath="/ns1:Root/ns1:Prog/ns1:Target_P5_6" xmlDataType="double"/>
    </xmlCellPr>
  </singleXmlCell>
  <singleXmlCell id="691" r="M132" connectionId="0">
    <xmlCellPr id="1" uniqueName="1">
      <xmlPr mapId="43" xpath="/ns1:Root/ns1:Prog/ns1:Target_P6_6" xmlDataType="double"/>
    </xmlCellPr>
  </singleXmlCell>
  <singleXmlCell id="692" r="N132" connectionId="0">
    <xmlCellPr id="1" uniqueName="1">
      <xmlPr mapId="43" xpath="/ns1:Root/ns1:Prog/ns1:Target_P7_6" xmlDataType="double"/>
    </xmlCellPr>
  </singleXmlCell>
  <singleXmlCell id="694" r="P132" connectionId="0">
    <xmlCellPr id="1" uniqueName="1">
      <xmlPr mapId="43" xpath="/ns1:Root/ns1:Prog/ns1:Target_P9_6" xmlDataType="double"/>
    </xmlCellPr>
  </singleXmlCell>
  <singleXmlCell id="695" r="Q132" connectionId="0">
    <xmlCellPr id="1" uniqueName="1">
      <xmlPr mapId="43" xpath="/ns1:Root/ns1:Prog/ns1:Target_P10_6" xmlDataType="double"/>
    </xmlCellPr>
  </singleXmlCell>
  <singleXmlCell id="696" r="R132" connectionId="0">
    <xmlCellPr id="1" uniqueName="1">
      <xmlPr mapId="43" xpath="/ns1:Root/ns1:Prog/ns1:Target_P11_6" xmlDataType="double"/>
    </xmlCellPr>
  </singleXmlCell>
  <singleXmlCell id="697" r="S132" connectionId="0">
    <xmlCellPr id="1" uniqueName="1">
      <xmlPr mapId="43" xpath="/ns1:Root/ns1:Prog/ns1:Target_P12_6" xmlDataType="double"/>
    </xmlCellPr>
  </singleXmlCell>
  <singleXmlCell id="698" r="H133" connectionId="0">
    <xmlCellPr id="1" uniqueName="1">
      <xmlPr mapId="43" xpath="/ns1:Root/ns1:Prog/ns1:Achieved__P1_6" xmlDataType="double"/>
    </xmlCellPr>
  </singleXmlCell>
  <singleXmlCell id="699" r="I133" connectionId="0">
    <xmlCellPr id="1" uniqueName="1">
      <xmlPr mapId="43" xpath="/ns1:Root/ns1:Prog/ns1:Achieved__P2_6" xmlDataType="double"/>
    </xmlCellPr>
  </singleXmlCell>
  <singleXmlCell id="700" r="J133" connectionId="0">
    <xmlCellPr id="1" uniqueName="1">
      <xmlPr mapId="43" xpath="/ns1:Root/ns1:Prog/ns1:Achieved__P3_6" xmlDataType="double"/>
    </xmlCellPr>
  </singleXmlCell>
  <singleXmlCell id="701" r="K133" connectionId="0">
    <xmlCellPr id="1" uniqueName="1">
      <xmlPr mapId="43" xpath="/ns1:Root/ns1:Prog/ns1:Achieved__P4_6" xmlDataType="double"/>
    </xmlCellPr>
  </singleXmlCell>
  <singleXmlCell id="702" r="L133" connectionId="0">
    <xmlCellPr id="1" uniqueName="1">
      <xmlPr mapId="43" xpath="/ns1:Root/ns1:Prog/ns1:Achieved__P5_6" xmlDataType="string"/>
    </xmlCellPr>
  </singleXmlCell>
  <singleXmlCell id="703" r="M133" connectionId="0">
    <xmlCellPr id="1" uniqueName="1">
      <xmlPr mapId="43" xpath="/ns1:Root/ns1:Prog/ns1:Achieved__P6_6" xmlDataType="string"/>
    </xmlCellPr>
  </singleXmlCell>
  <singleXmlCell id="704" r="N133" connectionId="0">
    <xmlCellPr id="1" uniqueName="1">
      <xmlPr mapId="43" xpath="/ns1:Root/ns1:Prog/ns1:Achieved__P7_6" xmlDataType="string"/>
    </xmlCellPr>
  </singleXmlCell>
  <singleXmlCell id="706" r="P133" connectionId="0">
    <xmlCellPr id="1" uniqueName="1">
      <xmlPr mapId="43" xpath="/ns1:Root/ns1:Prog/ns1:Achieved__P9_6" xmlDataType="string"/>
    </xmlCellPr>
  </singleXmlCell>
  <singleXmlCell id="707" r="Q133" connectionId="0">
    <xmlCellPr id="1" uniqueName="1">
      <xmlPr mapId="43" xpath="/ns1:Root/ns1:Prog/ns1:Achieved__P10_6" xmlDataType="string"/>
    </xmlCellPr>
  </singleXmlCell>
  <singleXmlCell id="708" r="R133" connectionId="0">
    <xmlCellPr id="1" uniqueName="1">
      <xmlPr mapId="43" xpath="/ns1:Root/ns1:Prog/ns1:Achieved__P11_6" xmlDataType="string"/>
    </xmlCellPr>
  </singleXmlCell>
  <singleXmlCell id="709" r="S133" connectionId="0">
    <xmlCellPr id="1" uniqueName="1">
      <xmlPr mapId="43" xpath="/ns1:Root/ns1:Prog/ns1:Achieved__P12_6" xmlDataType="string"/>
    </xmlCellPr>
  </singleXmlCell>
  <singleXmlCell id="710" r="H134" connectionId="0">
    <xmlCellPr id="1" uniqueName="1">
      <xmlPr mapId="43" xpath="/ns1:Root/ns1:Prog/ns1:Target_P1_7" xmlDataType="double"/>
    </xmlCellPr>
  </singleXmlCell>
  <singleXmlCell id="711" r="I134" connectionId="0">
    <xmlCellPr id="1" uniqueName="1">
      <xmlPr mapId="43" xpath="/ns1:Root/ns1:Prog/ns1:Target_P2_7" xmlDataType="double"/>
    </xmlCellPr>
  </singleXmlCell>
  <singleXmlCell id="712" r="J134" connectionId="0">
    <xmlCellPr id="1" uniqueName="1">
      <xmlPr mapId="43" xpath="/ns1:Root/ns1:Prog/ns1:Target_P3_7" xmlDataType="double"/>
    </xmlCellPr>
  </singleXmlCell>
  <singleXmlCell id="713" r="K134" connectionId="0">
    <xmlCellPr id="1" uniqueName="1">
      <xmlPr mapId="43" xpath="/ns1:Root/ns1:Prog/ns1:Target_P4_7" xmlDataType="double"/>
    </xmlCellPr>
  </singleXmlCell>
  <singleXmlCell id="714" r="L134" connectionId="0">
    <xmlCellPr id="1" uniqueName="1">
      <xmlPr mapId="43" xpath="/ns1:Root/ns1:Prog/ns1:Target_P5_7" xmlDataType="double"/>
    </xmlCellPr>
  </singleXmlCell>
  <singleXmlCell id="715" r="M134" connectionId="0">
    <xmlCellPr id="1" uniqueName="1">
      <xmlPr mapId="43" xpath="/ns1:Root/ns1:Prog/ns1:Target_P6_7" xmlDataType="double"/>
    </xmlCellPr>
  </singleXmlCell>
  <singleXmlCell id="716" r="N134" connectionId="0">
    <xmlCellPr id="1" uniqueName="1">
      <xmlPr mapId="43" xpath="/ns1:Root/ns1:Prog/ns1:Target_P7_7" xmlDataType="double"/>
    </xmlCellPr>
  </singleXmlCell>
  <singleXmlCell id="717" r="O134" connectionId="0">
    <xmlCellPr id="1" uniqueName="1">
      <xmlPr mapId="43" xpath="/ns1:Root/ns1:Prog/ns1:Target_P8_7" xmlDataType="double"/>
    </xmlCellPr>
  </singleXmlCell>
  <singleXmlCell id="718" r="P134" connectionId="0">
    <xmlCellPr id="1" uniqueName="1">
      <xmlPr mapId="43" xpath="/ns1:Root/ns1:Prog/ns1:Target_P9_7" xmlDataType="double"/>
    </xmlCellPr>
  </singleXmlCell>
  <singleXmlCell id="719" r="Q134" connectionId="0">
    <xmlCellPr id="1" uniqueName="1">
      <xmlPr mapId="43" xpath="/ns1:Root/ns1:Prog/ns1:Target_P10_7" xmlDataType="double"/>
    </xmlCellPr>
  </singleXmlCell>
  <singleXmlCell id="720" r="R134" connectionId="0">
    <xmlCellPr id="1" uniqueName="1">
      <xmlPr mapId="43" xpath="/ns1:Root/ns1:Prog/ns1:Target_P11_7" xmlDataType="double"/>
    </xmlCellPr>
  </singleXmlCell>
  <singleXmlCell id="721" r="S134" connectionId="0">
    <xmlCellPr id="1" uniqueName="1">
      <xmlPr mapId="43" xpath="/ns1:Root/ns1:Prog/ns1:Target_P12_7" xmlDataType="double"/>
    </xmlCellPr>
  </singleXmlCell>
  <singleXmlCell id="722" r="H135" connectionId="0">
    <xmlCellPr id="1" uniqueName="1">
      <xmlPr mapId="43" xpath="/ns1:Root/ns1:Prog/ns1:Achieved__P1_7" xmlDataType="double"/>
    </xmlCellPr>
  </singleXmlCell>
  <singleXmlCell id="723" r="I135" connectionId="0">
    <xmlCellPr id="1" uniqueName="1">
      <xmlPr mapId="43" xpath="/ns1:Root/ns1:Prog/ns1:Achieved__P2_7" xmlDataType="double"/>
    </xmlCellPr>
  </singleXmlCell>
  <singleXmlCell id="724" r="J135" connectionId="0">
    <xmlCellPr id="1" uniqueName="1">
      <xmlPr mapId="43" xpath="/ns1:Root/ns1:Prog/ns1:Achieved__P3_7" xmlDataType="double"/>
    </xmlCellPr>
  </singleXmlCell>
  <singleXmlCell id="725" r="K135" connectionId="0">
    <xmlCellPr id="1" uniqueName="1">
      <xmlPr mapId="43" xpath="/ns1:Root/ns1:Prog/ns1:Achieved__P4_7" xmlDataType="double"/>
    </xmlCellPr>
  </singleXmlCell>
  <singleXmlCell id="726" r="L135" connectionId="0">
    <xmlCellPr id="1" uniqueName="1">
      <xmlPr mapId="43" xpath="/ns1:Root/ns1:Prog/ns1:Achieved__P5_7" xmlDataType="string"/>
    </xmlCellPr>
  </singleXmlCell>
  <singleXmlCell id="727" r="M135" connectionId="0">
    <xmlCellPr id="1" uniqueName="1">
      <xmlPr mapId="43" xpath="/ns1:Root/ns1:Prog/ns1:Achieved__P6_7" xmlDataType="string"/>
    </xmlCellPr>
  </singleXmlCell>
  <singleXmlCell id="728" r="N135" connectionId="0">
    <xmlCellPr id="1" uniqueName="1">
      <xmlPr mapId="43" xpath="/ns1:Root/ns1:Prog/ns1:Achieved__P7_7" xmlDataType="string"/>
    </xmlCellPr>
  </singleXmlCell>
  <singleXmlCell id="729" r="O135" connectionId="0">
    <xmlCellPr id="1" uniqueName="1">
      <xmlPr mapId="43" xpath="/ns1:Root/ns1:Prog/ns1:Achieved__P8_7" xmlDataType="string"/>
    </xmlCellPr>
  </singleXmlCell>
  <singleXmlCell id="730" r="P135" connectionId="0">
    <xmlCellPr id="1" uniqueName="1">
      <xmlPr mapId="43" xpath="/ns1:Root/ns1:Prog/ns1:Achieved__P9_7" xmlDataType="string"/>
    </xmlCellPr>
  </singleXmlCell>
  <singleXmlCell id="731" r="Q135" connectionId="0">
    <xmlCellPr id="1" uniqueName="1">
      <xmlPr mapId="43" xpath="/ns1:Root/ns1:Prog/ns1:Achieved__P10_7" xmlDataType="string"/>
    </xmlCellPr>
  </singleXmlCell>
  <singleXmlCell id="732" r="R135" connectionId="0">
    <xmlCellPr id="1" uniqueName="1">
      <xmlPr mapId="43" xpath="/ns1:Root/ns1:Prog/ns1:Achieved__P11_7" xmlDataType="string"/>
    </xmlCellPr>
  </singleXmlCell>
  <singleXmlCell id="733" r="S135" connectionId="0">
    <xmlCellPr id="1" uniqueName="1">
      <xmlPr mapId="43" xpath="/ns1:Root/ns1:Prog/ns1:Achieved__P12_7" xmlDataType="string"/>
    </xmlCellPr>
  </singleXmlCell>
  <singleXmlCell id="734" r="H136" connectionId="0">
    <xmlCellPr id="1" uniqueName="1">
      <xmlPr mapId="43" xpath="/ns1:Root/ns1:Prog/ns1:Target_P1_8" xmlDataType="string"/>
    </xmlCellPr>
  </singleXmlCell>
  <singleXmlCell id="735" r="I136" connectionId="0">
    <xmlCellPr id="1" uniqueName="1">
      <xmlPr mapId="43" xpath="/ns1:Root/ns1:Prog/ns1:Target_P2_8" xmlDataType="double"/>
    </xmlCellPr>
  </singleXmlCell>
  <singleXmlCell id="736" r="J136" connectionId="0">
    <xmlCellPr id="1" uniqueName="1">
      <xmlPr mapId="43" xpath="/ns1:Root/ns1:Prog/ns1:Target_P3_8" xmlDataType="string"/>
    </xmlCellPr>
  </singleXmlCell>
  <singleXmlCell id="737" r="K136" connectionId="0">
    <xmlCellPr id="1" uniqueName="1">
      <xmlPr mapId="43" xpath="/ns1:Root/ns1:Prog/ns1:Target_P4_8" xmlDataType="double"/>
    </xmlCellPr>
  </singleXmlCell>
  <singleXmlCell id="738" r="L136" connectionId="0">
    <xmlCellPr id="1" uniqueName="1">
      <xmlPr mapId="43" xpath="/ns1:Root/ns1:Prog/ns1:Target_P5_8" xmlDataType="string"/>
    </xmlCellPr>
  </singleXmlCell>
  <singleXmlCell id="739" r="M136" connectionId="0">
    <xmlCellPr id="1" uniqueName="1">
      <xmlPr mapId="43" xpath="/ns1:Root/ns1:Prog/ns1:Target_P6_8" xmlDataType="double"/>
    </xmlCellPr>
  </singleXmlCell>
  <singleXmlCell id="740" r="N136" connectionId="0">
    <xmlCellPr id="1" uniqueName="1">
      <xmlPr mapId="43" xpath="/ns1:Root/ns1:Prog/ns1:Target_P7_8" xmlDataType="string"/>
    </xmlCellPr>
  </singleXmlCell>
  <singleXmlCell id="741" r="O136" connectionId="0">
    <xmlCellPr id="1" uniqueName="1">
      <xmlPr mapId="43" xpath="/ns1:Root/ns1:Prog/ns1:Target_P8_8" xmlDataType="double"/>
    </xmlCellPr>
  </singleXmlCell>
  <singleXmlCell id="742" r="P136" connectionId="0">
    <xmlCellPr id="1" uniqueName="1">
      <xmlPr mapId="43" xpath="/ns1:Root/ns1:Prog/ns1:Target_P9_8" xmlDataType="double"/>
    </xmlCellPr>
  </singleXmlCell>
  <singleXmlCell id="743" r="Q136" connectionId="0">
    <xmlCellPr id="1" uniqueName="1">
      <xmlPr mapId="43" xpath="/ns1:Root/ns1:Prog/ns1:Target_P10_8" xmlDataType="double"/>
    </xmlCellPr>
  </singleXmlCell>
  <singleXmlCell id="744" r="R136" connectionId="0">
    <xmlCellPr id="1" uniqueName="1">
      <xmlPr mapId="43" xpath="/ns1:Root/ns1:Prog/ns1:Target_P11_8" xmlDataType="double"/>
    </xmlCellPr>
  </singleXmlCell>
  <singleXmlCell id="745" r="S136" connectionId="0">
    <xmlCellPr id="1" uniqueName="1">
      <xmlPr mapId="43" xpath="/ns1:Root/ns1:Prog/ns1:Target_P12_8" xmlDataType="double"/>
    </xmlCellPr>
  </singleXmlCell>
  <singleXmlCell id="746" r="H137" connectionId="0">
    <xmlCellPr id="1" uniqueName="1">
      <xmlPr mapId="43" xpath="/ns1:Root/ns1:Prog/ns1:Achieved__P1_8" xmlDataType="string"/>
    </xmlCellPr>
  </singleXmlCell>
  <singleXmlCell id="747" r="I137" connectionId="0">
    <xmlCellPr id="1" uniqueName="1">
      <xmlPr mapId="43" xpath="/ns1:Root/ns1:Prog/ns1:Achieved__P2_8" xmlDataType="string"/>
    </xmlCellPr>
  </singleXmlCell>
  <singleXmlCell id="748" r="J137" connectionId="0">
    <xmlCellPr id="1" uniqueName="1">
      <xmlPr mapId="43" xpath="/ns1:Root/ns1:Prog/ns1:Achieved__P3_8" xmlDataType="string"/>
    </xmlCellPr>
  </singleXmlCell>
  <singleXmlCell id="749" r="K137" connectionId="0">
    <xmlCellPr id="1" uniqueName="1">
      <xmlPr mapId="43" xpath="/ns1:Root/ns1:Prog/ns1:Achieved__P4_8" xmlDataType="string"/>
    </xmlCellPr>
  </singleXmlCell>
  <singleXmlCell id="750" r="L137" connectionId="0">
    <xmlCellPr id="1" uniqueName="1">
      <xmlPr mapId="43" xpath="/ns1:Root/ns1:Prog/ns1:Achieved__P5_8" xmlDataType="string"/>
    </xmlCellPr>
  </singleXmlCell>
  <singleXmlCell id="751" r="M137" connectionId="0">
    <xmlCellPr id="1" uniqueName="1">
      <xmlPr mapId="43" xpath="/ns1:Root/ns1:Prog/ns1:Achieved__P6_8" xmlDataType="string"/>
    </xmlCellPr>
  </singleXmlCell>
  <singleXmlCell id="752" r="N137" connectionId="0">
    <xmlCellPr id="1" uniqueName="1">
      <xmlPr mapId="43" xpath="/ns1:Root/ns1:Prog/ns1:Achieved__P7_8" xmlDataType="string"/>
    </xmlCellPr>
  </singleXmlCell>
  <singleXmlCell id="753" r="O137" connectionId="0">
    <xmlCellPr id="1" uniqueName="1">
      <xmlPr mapId="43" xpath="/ns1:Root/ns1:Prog/ns1:Achieved__P8_8" xmlDataType="string"/>
    </xmlCellPr>
  </singleXmlCell>
  <singleXmlCell id="754" r="P137" connectionId="0">
    <xmlCellPr id="1" uniqueName="1">
      <xmlPr mapId="43" xpath="/ns1:Root/ns1:Prog/ns1:Achieved__P9_8" xmlDataType="string"/>
    </xmlCellPr>
  </singleXmlCell>
  <singleXmlCell id="755" r="Q137" connectionId="0">
    <xmlCellPr id="1" uniqueName="1">
      <xmlPr mapId="43" xpath="/ns1:Root/ns1:Prog/ns1:Achieved__P10_8" xmlDataType="string"/>
    </xmlCellPr>
  </singleXmlCell>
  <singleXmlCell id="756" r="R137" connectionId="0">
    <xmlCellPr id="1" uniqueName="1">
      <xmlPr mapId="43" xpath="/ns1:Root/ns1:Prog/ns1:Achieved__P11_8" xmlDataType="string"/>
    </xmlCellPr>
  </singleXmlCell>
  <singleXmlCell id="757" r="S137" connectionId="0">
    <xmlCellPr id="1" uniqueName="1">
      <xmlPr mapId="43" xpath="/ns1:Root/ns1:Prog/ns1:Achieved__P12_8" xmlDataType="string"/>
    </xmlCellPr>
  </singleXmlCell>
  <singleXmlCell id="758" r="H138" connectionId="0">
    <xmlCellPr id="1" uniqueName="1">
      <xmlPr mapId="43" xpath="/ns1:Root/ns1:Prog/ns1:Target_P1_9" xmlDataType="double"/>
    </xmlCellPr>
  </singleXmlCell>
  <singleXmlCell id="759" r="I138" connectionId="0">
    <xmlCellPr id="1" uniqueName="1">
      <xmlPr mapId="43" xpath="/ns1:Root/ns1:Prog/ns1:Target_P2_9" xmlDataType="double"/>
    </xmlCellPr>
  </singleXmlCell>
  <singleXmlCell id="760" r="J138" connectionId="0">
    <xmlCellPr id="1" uniqueName="1">
      <xmlPr mapId="43" xpath="/ns1:Root/ns1:Prog/ns1:Target_P3_9" xmlDataType="double"/>
    </xmlCellPr>
  </singleXmlCell>
  <singleXmlCell id="761" r="K138" connectionId="0">
    <xmlCellPr id="1" uniqueName="1">
      <xmlPr mapId="43" xpath="/ns1:Root/ns1:Prog/ns1:Target_P4_9" xmlDataType="double"/>
    </xmlCellPr>
  </singleXmlCell>
  <singleXmlCell id="762" r="L138" connectionId="0">
    <xmlCellPr id="1" uniqueName="1">
      <xmlPr mapId="43" xpath="/ns1:Root/ns1:Prog/ns1:Target_P5_9" xmlDataType="double"/>
    </xmlCellPr>
  </singleXmlCell>
  <singleXmlCell id="763" r="M138" connectionId="0">
    <xmlCellPr id="1" uniqueName="1">
      <xmlPr mapId="43" xpath="/ns1:Root/ns1:Prog/ns1:Target_P6_9" xmlDataType="double"/>
    </xmlCellPr>
  </singleXmlCell>
  <singleXmlCell id="764" r="N138" connectionId="0">
    <xmlCellPr id="1" uniqueName="1">
      <xmlPr mapId="43" xpath="/ns1:Root/ns1:Prog/ns1:Target_P7_9" xmlDataType="double"/>
    </xmlCellPr>
  </singleXmlCell>
  <singleXmlCell id="765" r="O138" connectionId="0">
    <xmlCellPr id="1" uniqueName="1">
      <xmlPr mapId="43" xpath="/ns1:Root/ns1:Prog/ns1:Target_P8_9" xmlDataType="double"/>
    </xmlCellPr>
  </singleXmlCell>
  <singleXmlCell id="766" r="P138" connectionId="0">
    <xmlCellPr id="1" uniqueName="1">
      <xmlPr mapId="43" xpath="/ns1:Root/ns1:Prog/ns1:Target_P9_9" xmlDataType="double"/>
    </xmlCellPr>
  </singleXmlCell>
  <singleXmlCell id="767" r="Q138" connectionId="0">
    <xmlCellPr id="1" uniqueName="1">
      <xmlPr mapId="43" xpath="/ns1:Root/ns1:Prog/ns1:Target_P10_9" xmlDataType="double"/>
    </xmlCellPr>
  </singleXmlCell>
  <singleXmlCell id="768" r="R138" connectionId="0">
    <xmlCellPr id="1" uniqueName="1">
      <xmlPr mapId="43" xpath="/ns1:Root/ns1:Prog/ns1:Target_P11_9" xmlDataType="double"/>
    </xmlCellPr>
  </singleXmlCell>
  <singleXmlCell id="769" r="S138" connectionId="0">
    <xmlCellPr id="1" uniqueName="1">
      <xmlPr mapId="43" xpath="/ns1:Root/ns1:Prog/ns1:Target_P12_9" xmlDataType="double"/>
    </xmlCellPr>
  </singleXmlCell>
  <singleXmlCell id="770" r="H139" connectionId="0">
    <xmlCellPr id="1" uniqueName="1">
      <xmlPr mapId="43" xpath="/ns1:Root/ns1:Prog/ns1:Achieved__P1_9" xmlDataType="string"/>
    </xmlCellPr>
  </singleXmlCell>
  <singleXmlCell id="771" r="I139" connectionId="0">
    <xmlCellPr id="1" uniqueName="1">
      <xmlPr mapId="43" xpath="/ns1:Root/ns1:Prog/ns1:Achieved__P2_9" xmlDataType="double"/>
    </xmlCellPr>
  </singleXmlCell>
  <singleXmlCell id="772" r="J139" connectionId="0">
    <xmlCellPr id="1" uniqueName="1">
      <xmlPr mapId="43" xpath="/ns1:Root/ns1:Prog/ns1:Achieved__P3_9" xmlDataType="string"/>
    </xmlCellPr>
  </singleXmlCell>
  <singleXmlCell id="773" r="K139" connectionId="0">
    <xmlCellPr id="1" uniqueName="1">
      <xmlPr mapId="43" xpath="/ns1:Root/ns1:Prog/ns1:Achieved__P4_9" xmlDataType="double"/>
    </xmlCellPr>
  </singleXmlCell>
  <singleXmlCell id="774" r="L139" connectionId="0">
    <xmlCellPr id="1" uniqueName="1">
      <xmlPr mapId="43" xpath="/ns1:Root/ns1:Prog/ns1:Achieved__P5_9" xmlDataType="string"/>
    </xmlCellPr>
  </singleXmlCell>
  <singleXmlCell id="775" r="M139" connectionId="0">
    <xmlCellPr id="1" uniqueName="1">
      <xmlPr mapId="43" xpath="/ns1:Root/ns1:Prog/ns1:Achieved__P6_9" xmlDataType="string"/>
    </xmlCellPr>
  </singleXmlCell>
  <singleXmlCell id="776" r="N139" connectionId="0">
    <xmlCellPr id="1" uniqueName="1">
      <xmlPr mapId="43" xpath="/ns1:Root/ns1:Prog/ns1:Achieved__P7_9" xmlDataType="string"/>
    </xmlCellPr>
  </singleXmlCell>
  <singleXmlCell id="777" r="O139" connectionId="0">
    <xmlCellPr id="1" uniqueName="1">
      <xmlPr mapId="43" xpath="/ns1:Root/ns1:Prog/ns1:Achieved__P8_9" xmlDataType="string"/>
    </xmlCellPr>
  </singleXmlCell>
  <singleXmlCell id="778" r="P139" connectionId="0">
    <xmlCellPr id="1" uniqueName="1">
      <xmlPr mapId="43" xpath="/ns1:Root/ns1:Prog/ns1:Achieved__P9_9" xmlDataType="string"/>
    </xmlCellPr>
  </singleXmlCell>
  <singleXmlCell id="779" r="Q139" connectionId="0">
    <xmlCellPr id="1" uniqueName="1">
      <xmlPr mapId="43" xpath="/ns1:Root/ns1:Prog/ns1:Achieved__P10_9" xmlDataType="string"/>
    </xmlCellPr>
  </singleXmlCell>
  <singleXmlCell id="780" r="R139" connectionId="0">
    <xmlCellPr id="1" uniqueName="1">
      <xmlPr mapId="43" xpath="/ns1:Root/ns1:Prog/ns1:Achieved__P11_9" xmlDataType="string"/>
    </xmlCellPr>
  </singleXmlCell>
  <singleXmlCell id="781" r="S139" connectionId="0">
    <xmlCellPr id="1" uniqueName="1">
      <xmlPr mapId="43" xpath="/ns1:Root/ns1:Prog/ns1:Achieved__P12_9" xmlDataType="string"/>
    </xmlCellPr>
  </singleXmlCell>
  <singleXmlCell id="782" r="H140" connectionId="0">
    <xmlCellPr id="1" uniqueName="1">
      <xmlPr mapId="43" xpath="/ns1:Root/ns1:Prog/ns1:Target_P1" xmlDataType="string"/>
    </xmlCellPr>
  </singleXmlCell>
  <singleXmlCell id="783" r="I140" connectionId="0">
    <xmlCellPr id="1" uniqueName="1">
      <xmlPr mapId="43" xpath="/ns1:Root/ns1:Prog/ns1:Target_P2" xmlDataType="string"/>
    </xmlCellPr>
  </singleXmlCell>
  <singleXmlCell id="784" r="J140" connectionId="0">
    <xmlCellPr id="1" uniqueName="1">
      <xmlPr mapId="43" xpath="/ns1:Root/ns1:Prog/ns1:Target_P3" xmlDataType="string"/>
    </xmlCellPr>
  </singleXmlCell>
  <singleXmlCell id="785" r="K140" connectionId="0">
    <xmlCellPr id="1" uniqueName="1">
      <xmlPr mapId="43" xpath="/ns1:Root/ns1:Prog/ns1:Target_P4" xmlDataType="double"/>
    </xmlCellPr>
  </singleXmlCell>
  <singleXmlCell id="786" r="L140" connectionId="0">
    <xmlCellPr id="1" uniqueName="1">
      <xmlPr mapId="43" xpath="/ns1:Root/ns1:Prog/ns1:Target_P5" xmlDataType="string"/>
    </xmlCellPr>
  </singleXmlCell>
  <singleXmlCell id="787" r="M140" connectionId="0">
    <xmlCellPr id="1" uniqueName="1">
      <xmlPr mapId="43" xpath="/ns1:Root/ns1:Prog/ns1:Target_P6" xmlDataType="string"/>
    </xmlCellPr>
  </singleXmlCell>
  <singleXmlCell id="788" r="N140" connectionId="0">
    <xmlCellPr id="1" uniqueName="1">
      <xmlPr mapId="43" xpath="/ns1:Root/ns1:Prog/ns1:Target_P7" xmlDataType="string"/>
    </xmlCellPr>
  </singleXmlCell>
  <singleXmlCell id="789" r="O140" connectionId="0">
    <xmlCellPr id="1" uniqueName="1">
      <xmlPr mapId="43" xpath="/ns1:Root/ns1:Prog/ns1:Target_P8" xmlDataType="string"/>
    </xmlCellPr>
  </singleXmlCell>
  <singleXmlCell id="790" r="P140" connectionId="0">
    <xmlCellPr id="1" uniqueName="1">
      <xmlPr mapId="43" xpath="/ns1:Root/ns1:Prog/ns1:Target_P9" xmlDataType="string"/>
    </xmlCellPr>
  </singleXmlCell>
  <singleXmlCell id="791" r="Q140" connectionId="0">
    <xmlCellPr id="1" uniqueName="1">
      <xmlPr mapId="43" xpath="/ns1:Root/ns1:Prog/ns1:Target_P10" xmlDataType="string"/>
    </xmlCellPr>
  </singleXmlCell>
  <singleXmlCell id="792" r="R140" connectionId="0">
    <xmlCellPr id="1" uniqueName="1">
      <xmlPr mapId="43" xpath="/ns1:Root/ns1:Prog/ns1:Target_P11" xmlDataType="string"/>
    </xmlCellPr>
  </singleXmlCell>
  <singleXmlCell id="793" r="S140" connectionId="0">
    <xmlCellPr id="1" uniqueName="1">
      <xmlPr mapId="43" xpath="/ns1:Root/ns1:Prog/ns1:Target_P12" xmlDataType="string"/>
    </xmlCellPr>
  </singleXmlCell>
  <singleXmlCell id="794" r="H141" connectionId="0">
    <xmlCellPr id="1" uniqueName="1">
      <xmlPr mapId="43" xpath="/ns1:Root/ns1:Prog/ns1:Achieved__P1" xmlDataType="string"/>
    </xmlCellPr>
  </singleXmlCell>
  <singleXmlCell id="795" r="I141" connectionId="0">
    <xmlCellPr id="1" uniqueName="1">
      <xmlPr mapId="43" xpath="/ns1:Root/ns1:Prog/ns1:Achieved__P2" xmlDataType="string"/>
    </xmlCellPr>
  </singleXmlCell>
  <singleXmlCell id="796" r="J141" connectionId="0">
    <xmlCellPr id="1" uniqueName="1">
      <xmlPr mapId="43" xpath="/ns1:Root/ns1:Prog/ns1:Achieved__P3" xmlDataType="string"/>
    </xmlCellPr>
  </singleXmlCell>
  <singleXmlCell id="797" r="K141" connectionId="0">
    <xmlCellPr id="1" uniqueName="1">
      <xmlPr mapId="43" xpath="/ns1:Root/ns1:Prog/ns1:Achieved__P4" xmlDataType="string"/>
    </xmlCellPr>
  </singleXmlCell>
  <singleXmlCell id="798" r="L141" connectionId="0">
    <xmlCellPr id="1" uniqueName="1">
      <xmlPr mapId="43" xpath="/ns1:Root/ns1:Prog/ns1:Achieved__P5" xmlDataType="string"/>
    </xmlCellPr>
  </singleXmlCell>
  <singleXmlCell id="799" r="M141" connectionId="0">
    <xmlCellPr id="1" uniqueName="1">
      <xmlPr mapId="43" xpath="/ns1:Root/ns1:Prog/ns1:Achieved__P6" xmlDataType="string"/>
    </xmlCellPr>
  </singleXmlCell>
  <singleXmlCell id="800" r="N141" connectionId="0">
    <xmlCellPr id="1" uniqueName="1">
      <xmlPr mapId="43" xpath="/ns1:Root/ns1:Prog/ns1:Achieved__P7" xmlDataType="string"/>
    </xmlCellPr>
  </singleXmlCell>
  <singleXmlCell id="801" r="O141" connectionId="0">
    <xmlCellPr id="1" uniqueName="1">
      <xmlPr mapId="43" xpath="/ns1:Root/ns1:Prog/ns1:Achieved__P8" xmlDataType="string"/>
    </xmlCellPr>
  </singleXmlCell>
  <singleXmlCell id="802" r="P141" connectionId="0">
    <xmlCellPr id="1" uniqueName="1">
      <xmlPr mapId="43" xpath="/ns1:Root/ns1:Prog/ns1:Achieved__P9" xmlDataType="string"/>
    </xmlCellPr>
  </singleXmlCell>
  <singleXmlCell id="803" r="Q141" connectionId="0">
    <xmlCellPr id="1" uniqueName="1">
      <xmlPr mapId="43" xpath="/ns1:Root/ns1:Prog/ns1:Achieved__P10" xmlDataType="string"/>
    </xmlCellPr>
  </singleXmlCell>
  <singleXmlCell id="804" r="R141" connectionId="0">
    <xmlCellPr id="1" uniqueName="1">
      <xmlPr mapId="43" xpath="/ns1:Root/ns1:Prog/ns1:Achieved__P11" xmlDataType="string"/>
    </xmlCellPr>
  </singleXmlCell>
  <singleXmlCell id="805" r="S141" connectionId="0">
    <xmlCellPr id="1" uniqueName="1">
      <xmlPr mapId="43" xpath="/ns1:Root/ns1:Prog/ns1:Achieved__P12" xmlDataType="string"/>
    </xmlCellPr>
  </singleXmlCell>
  <singleXmlCell id="806" r="K124" connectionId="0">
    <xmlCellPr id="1" uniqueName="1">
      <xmlPr mapId="43" xpath="/ns1:Root/ns1:Prog/ns1:Target_P4_2" xmlDataType="double"/>
    </xmlCellPr>
  </singleXmlCell>
  <singleXmlCell id="807" r="B122" connectionId="0">
    <xmlCellPr id="1" uniqueName="1">
      <xmlPr mapId="43" xpath="/ns1:Root/ns1:P1" xmlDataType="string"/>
    </xmlCellPr>
  </singleXmlCell>
  <singleXmlCell id="808" r="E122" connectionId="0">
    <xmlCellPr id="1" uniqueName="1">
      <xmlPr mapId="43" xpath="/ns1:Root/ns1:P1_Code" xmlDataType="double"/>
    </xmlCellPr>
  </singleXmlCell>
  <singleXmlCell id="809" r="F122" connectionId="0">
    <xmlCellPr id="1" uniqueName="1">
      <xmlPr mapId="43" xpath="/ns1:Root/ns1:P1_Tied" xmlDataType="string"/>
    </xmlCellPr>
  </singleXmlCell>
  <singleXmlCell id="810" r="B124" connectionId="0">
    <xmlCellPr id="1" uniqueName="1">
      <xmlPr mapId="43" xpath="/ns1:Root/ns1:P2" xmlDataType="string"/>
    </xmlCellPr>
  </singleXmlCell>
  <singleXmlCell id="811" r="E124" connectionId="0">
    <xmlCellPr id="1" uniqueName="1">
      <xmlPr mapId="43" xpath="/ns1:Root/ns1:P2_Code" xmlDataType="double"/>
    </xmlCellPr>
  </singleXmlCell>
  <singleXmlCell id="812" r="F124" connectionId="0">
    <xmlCellPr id="1" uniqueName="1">
      <xmlPr mapId="43" xpath="/ns1:Root/ns1:P2_Tied" xmlDataType="string"/>
    </xmlCellPr>
  </singleXmlCell>
  <singleXmlCell id="813" r="B126" connectionId="0">
    <xmlCellPr id="1" uniqueName="1">
      <xmlPr mapId="43" xpath="/ns1:Root/ns1:P3" xmlDataType="string"/>
    </xmlCellPr>
  </singleXmlCell>
  <singleXmlCell id="814" r="E126" connectionId="0">
    <xmlCellPr id="1" uniqueName="1">
      <xmlPr mapId="43" xpath="/ns1:Root/ns1:P3_Code" xmlDataType="double"/>
    </xmlCellPr>
  </singleXmlCell>
  <singleXmlCell id="815" r="F126" connectionId="0">
    <xmlCellPr id="1" uniqueName="1">
      <xmlPr mapId="43" xpath="/ns1:Root/ns1:P3_Tied" xmlDataType="string"/>
    </xmlCellPr>
  </singleXmlCell>
  <singleXmlCell id="816" r="B128" connectionId="0">
    <xmlCellPr id="1" uniqueName="1">
      <xmlPr mapId="43" xpath="/ns1:Root/ns1:P4" xmlDataType="string"/>
    </xmlCellPr>
  </singleXmlCell>
  <singleXmlCell id="817" r="E128" connectionId="0">
    <xmlCellPr id="1" uniqueName="1">
      <xmlPr mapId="43" xpath="/ns1:Root/ns1:P4_Code" xmlDataType="double"/>
    </xmlCellPr>
  </singleXmlCell>
  <singleXmlCell id="818" r="F128" connectionId="0">
    <xmlCellPr id="1" uniqueName="1">
      <xmlPr mapId="43" xpath="/ns1:Root/ns1:P4_Tied" xmlDataType="string"/>
    </xmlCellPr>
  </singleXmlCell>
  <singleXmlCell id="819" r="B130" connectionId="0">
    <xmlCellPr id="1" uniqueName="1">
      <xmlPr mapId="43" xpath="/ns1:Root/ns1:P5" xmlDataType="string"/>
    </xmlCellPr>
  </singleXmlCell>
  <singleXmlCell id="820" r="E130" connectionId="0">
    <xmlCellPr id="1" uniqueName="1">
      <xmlPr mapId="43" xpath="/ns1:Root/ns1:P5_Code" xmlDataType="double"/>
    </xmlCellPr>
  </singleXmlCell>
  <singleXmlCell id="821" r="F130" connectionId="0">
    <xmlCellPr id="1" uniqueName="1">
      <xmlPr mapId="43" xpath="/ns1:Root/ns1:P5_Tied" xmlDataType="string"/>
    </xmlCellPr>
  </singleXmlCell>
  <singleXmlCell id="822" r="B132" connectionId="0">
    <xmlCellPr id="1" uniqueName="1">
      <xmlPr mapId="43" xpath="/ns1:Root/ns1:P6" xmlDataType="string"/>
    </xmlCellPr>
  </singleXmlCell>
  <singleXmlCell id="823" r="E132" connectionId="0">
    <xmlCellPr id="1" uniqueName="1">
      <xmlPr mapId="43" xpath="/ns1:Root/ns1:P6_Code" xmlDataType="double"/>
    </xmlCellPr>
  </singleXmlCell>
  <singleXmlCell id="824" r="F132" connectionId="0">
    <xmlCellPr id="1" uniqueName="1">
      <xmlPr mapId="43" xpath="/ns1:Root/ns1:P6_Tied" xmlDataType="string"/>
    </xmlCellPr>
  </singleXmlCell>
  <singleXmlCell id="825" r="B134" connectionId="0">
    <xmlCellPr id="1" uniqueName="1">
      <xmlPr mapId="43" xpath="/ns1:Root/ns1:P7" xmlDataType="string"/>
    </xmlCellPr>
  </singleXmlCell>
  <singleXmlCell id="826" r="E134" connectionId="0">
    <xmlCellPr id="1" uniqueName="1">
      <xmlPr mapId="43" xpath="/ns1:Root/ns1:P7_Code" xmlDataType="double"/>
    </xmlCellPr>
  </singleXmlCell>
  <singleXmlCell id="827" r="F134" connectionId="0">
    <xmlCellPr id="1" uniqueName="1">
      <xmlPr mapId="43" xpath="/ns1:Root/ns1:P7_Tied" xmlDataType="string"/>
    </xmlCellPr>
  </singleXmlCell>
  <singleXmlCell id="828" r="B136" connectionId="0">
    <xmlCellPr id="1" uniqueName="1">
      <xmlPr mapId="43" xpath="/ns1:Root/ns1:P8" xmlDataType="string"/>
    </xmlCellPr>
  </singleXmlCell>
  <singleXmlCell id="829" r="E136" connectionId="0">
    <xmlCellPr id="1" uniqueName="1">
      <xmlPr mapId="43" xpath="/ns1:Root/ns1:P8_Code" xmlDataType="double"/>
    </xmlCellPr>
  </singleXmlCell>
  <singleXmlCell id="830" r="F136" connectionId="0">
    <xmlCellPr id="1" uniqueName="1">
      <xmlPr mapId="43" xpath="/ns1:Root/ns1:P8_Tied" xmlDataType="string"/>
    </xmlCellPr>
  </singleXmlCell>
  <singleXmlCell id="831" r="B138" connectionId="0">
    <xmlCellPr id="1" uniqueName="1">
      <xmlPr mapId="43" xpath="/ns1:Root/ns1:P9" xmlDataType="string"/>
    </xmlCellPr>
  </singleXmlCell>
  <singleXmlCell id="832" r="E138" connectionId="0">
    <xmlCellPr id="1" uniqueName="1">
      <xmlPr mapId="43" xpath="/ns1:Root/ns1:P9_Code" xmlDataType="double"/>
    </xmlCellPr>
  </singleXmlCell>
  <singleXmlCell id="833" r="F138" connectionId="0">
    <xmlCellPr id="1" uniqueName="1">
      <xmlPr mapId="43" xpath="/ns1:Root/ns1:P9_Tied" xmlDataType="double"/>
    </xmlCellPr>
  </singleXmlCell>
  <singleXmlCell id="834" r="B140" connectionId="0">
    <xmlCellPr id="1" uniqueName="1">
      <xmlPr mapId="43" xpath="/ns1:Root/ns1:P10" xmlDataType="string"/>
    </xmlCellPr>
  </singleXmlCell>
  <singleXmlCell id="835" r="E140" connectionId="0">
    <xmlCellPr id="1" uniqueName="1">
      <xmlPr mapId="43" xpath="/ns1:Root/ns1:P10_Code" xmlDataType="double"/>
    </xmlCellPr>
  </singleXmlCell>
  <singleXmlCell id="836" r="F140"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86" r="O123" connectionId="0">
    <xmlCellPr id="1" uniqueName="1">
      <xmlPr mapId="43" xpath="/ns1:Root/ns1:Prog/ns1:Achieved__P8_1" xmlDataType="string"/>
    </xmlCellPr>
  </singleXmlCell>
  <singleXmlCell id="597" r="O124" connectionId="0">
    <xmlCellPr id="1" uniqueName="1">
      <xmlPr mapId="43" xpath="/ns1:Root/ns1:Prog/ns1:Target_P8_2" xmlDataType="double"/>
    </xmlCellPr>
  </singleXmlCell>
  <singleXmlCell id="609" r="O125" connectionId="0">
    <xmlCellPr id="1" uniqueName="1">
      <xmlPr mapId="43" xpath="/ns1:Root/ns1:Prog/ns1:Achieved__P8_2" xmlDataType="string"/>
    </xmlCellPr>
  </singleXmlCell>
  <singleXmlCell id="621" r="O126" connectionId="0">
    <xmlCellPr id="1" uniqueName="1">
      <xmlPr mapId="43" xpath="/ns1:Root/ns1:Prog/ns1:Target_P8_3" xmlDataType="double"/>
    </xmlCellPr>
  </singleXmlCell>
  <singleXmlCell id="633" r="O127" connectionId="0">
    <xmlCellPr id="1" uniqueName="1">
      <xmlPr mapId="43" xpath="/ns1:Root/ns1:Prog/ns1:Achieved__P8_3" xmlDataType="string"/>
    </xmlCellPr>
  </singleXmlCell>
  <singleXmlCell id="645" r="O128" connectionId="0">
    <xmlCellPr id="1" uniqueName="1">
      <xmlPr mapId="43" xpath="/ns1:Root/ns1:Prog/ns1:Target_P8_4" xmlDataType="double"/>
    </xmlCellPr>
  </singleXmlCell>
  <singleXmlCell id="657" r="O129" connectionId="0">
    <xmlCellPr id="1" uniqueName="1">
      <xmlPr mapId="43" xpath="/ns1:Root/ns1:Prog/ns1:Achieved__P8_4" xmlDataType="string"/>
    </xmlCellPr>
  </singleXmlCell>
  <singleXmlCell id="669" r="O130" connectionId="0">
    <xmlCellPr id="1" uniqueName="1">
      <xmlPr mapId="43" xpath="/ns1:Root/ns1:Prog/ns1:Target_P8_5" xmlDataType="double"/>
    </xmlCellPr>
  </singleXmlCell>
  <singleXmlCell id="681" r="O131" connectionId="0">
    <xmlCellPr id="1" uniqueName="1">
      <xmlPr mapId="43" xpath="/ns1:Root/ns1:Prog/ns1:Achieved__P8_5" xmlDataType="string"/>
    </xmlCellPr>
  </singleXmlCell>
  <singleXmlCell id="693" r="O132" connectionId="0">
    <xmlCellPr id="1" uniqueName="1">
      <xmlPr mapId="43" xpath="/ns1:Root/ns1:Prog/ns1:Target_P8_6" xmlDataType="double"/>
    </xmlCellPr>
  </singleXmlCell>
  <singleXmlCell id="705" r="O133" connectionId="0">
    <xmlCellPr id="1" uniqueName="1">
      <xmlPr mapId="43" xpath="/ns1:Root/ns1:Prog/ns1:Achieved__P8_6"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view="pageBreakPreview" zoomScale="90" zoomScaleSheetLayoutView="9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63" t="str">
        <f>+'Grant Detail'!B3:J3</f>
        <v>Dashboard:  Ghana - MALARIA  (AngloGold Asanti (Ghana) Malaria Ltd)</v>
      </c>
      <c r="C2" s="563"/>
      <c r="D2" s="563"/>
      <c r="E2" s="563"/>
      <c r="F2" s="563"/>
      <c r="G2" s="563"/>
      <c r="H2" s="563"/>
      <c r="I2" s="563"/>
      <c r="J2" s="563"/>
      <c r="K2" s="563"/>
      <c r="L2" s="563"/>
      <c r="M2" s="1"/>
      <c r="N2" s="1"/>
      <c r="O2" s="1"/>
    </row>
    <row r="4" spans="2:15" ht="21">
      <c r="B4" s="564" t="str">
        <f>+IF('Data Entry'!G6="Please Select", "",'Data Entry'!G6) &amp;"  "&amp;+IF('Data Entry'!G8="Please Select", "", 'Data Entry'!G8&amp;",  ")&amp;+IF('Data Entry'!I8="Please Select","",'Data Entry'!I8)</f>
        <v>MALARIA  1,  New Funding Model</v>
      </c>
      <c r="C4" s="564"/>
      <c r="D4" s="564"/>
      <c r="E4" s="565"/>
      <c r="F4" s="229"/>
      <c r="G4" s="229"/>
      <c r="H4" s="321" t="str">
        <f>+'Data Entry'!B6&amp;" "&amp;+'Data Entry'!C6</f>
        <v>Grant No.: GHA-M-AGAMAL</v>
      </c>
      <c r="I4" s="321"/>
      <c r="J4" s="228"/>
      <c r="K4" s="229"/>
      <c r="L4" s="229"/>
    </row>
    <row r="22" spans="2:12" ht="26.25">
      <c r="B22" s="566" t="s">
        <v>382</v>
      </c>
      <c r="C22" s="567"/>
      <c r="D22" s="567"/>
      <c r="E22" s="567"/>
      <c r="F22" s="567"/>
      <c r="G22" s="567"/>
      <c r="H22" s="567"/>
      <c r="I22" s="567"/>
      <c r="J22" s="567"/>
      <c r="K22" s="567"/>
      <c r="L22" s="567"/>
    </row>
  </sheetData>
  <sheetProtection password="CFC9" sheet="1"/>
  <mergeCells count="3">
    <mergeCell ref="B2:L2"/>
    <mergeCell ref="B4:E4"/>
    <mergeCell ref="B22:L22"/>
  </mergeCells>
  <phoneticPr fontId="31"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25" zoomScaleNormal="90" zoomScalePageLayoutView="90" workbookViewId="0">
      <selection activeCell="D30" sqref="D30:G30"/>
    </sheetView>
  </sheetViews>
  <sheetFormatPr defaultColWidth="8.8554687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8.8554687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826" t="str">
        <f>'Grant Detail'!B3:J3</f>
        <v>Dashboard:  Ghana - MALARIA  (AngloGold Asanti (Ghana) Malaria Ltd)</v>
      </c>
      <c r="C2" s="826"/>
      <c r="D2" s="826"/>
      <c r="E2" s="826"/>
      <c r="F2" s="826"/>
      <c r="G2" s="826"/>
      <c r="H2" s="826"/>
      <c r="I2" s="826"/>
      <c r="J2" s="826"/>
      <c r="K2" s="826"/>
      <c r="L2" s="826"/>
      <c r="M2" s="826"/>
      <c r="N2" s="826"/>
      <c r="O2" s="73"/>
    </row>
    <row r="3" spans="1:15" customFormat="1" ht="18.75">
      <c r="A3" s="3"/>
      <c r="B3" s="132" t="str">
        <f>+IF('Data Entry'!G8="Please Select","",'Data Entry'!G8)</f>
        <v>1</v>
      </c>
      <c r="C3" s="783" t="str">
        <f>+IF('Data Entry'!I8="Please Select","",'Data Entry'!I8)</f>
        <v>New Funding Model</v>
      </c>
      <c r="D3" s="783"/>
      <c r="E3" s="829"/>
      <c r="F3" s="829"/>
      <c r="G3" s="829"/>
      <c r="H3" s="829"/>
      <c r="I3" s="829"/>
      <c r="J3" s="829"/>
      <c r="K3" s="829"/>
      <c r="L3" s="132" t="str">
        <f>+'Data Entry'!B16</f>
        <v>Report Period:</v>
      </c>
      <c r="M3" s="199" t="str">
        <f>+'Data Entry'!C16</f>
        <v>P4</v>
      </c>
      <c r="N3" s="199"/>
      <c r="O3" s="31"/>
    </row>
    <row r="4" spans="1:15" customFormat="1" ht="15">
      <c r="A4" s="3"/>
      <c r="B4" s="132" t="str">
        <f>+'Data Entry'!B12</f>
        <v>Latest Rating:</v>
      </c>
      <c r="C4" s="830" t="str">
        <f>+IF('Data Entry'!C12="Please Select","",'Data Entry'!C12)</f>
        <v>A2</v>
      </c>
      <c r="D4" s="830"/>
      <c r="E4" s="782" t="str">
        <f>+'Data Entry'!C8</f>
        <v>AngloGold Asanti (Ghana) Malaria Ltd</v>
      </c>
      <c r="F4" s="782"/>
      <c r="G4" s="782"/>
      <c r="H4" s="782"/>
      <c r="I4" s="782"/>
      <c r="J4" s="782"/>
      <c r="K4" s="782"/>
      <c r="L4" s="132" t="str">
        <f>+'Data Entry'!D16</f>
        <v>From:</v>
      </c>
      <c r="M4" s="200">
        <f>+IF(ISBLANK('Data Entry'!E16),"",'Data Entry'!E16)</f>
        <v>42278</v>
      </c>
      <c r="N4" s="200"/>
      <c r="O4" s="31"/>
    </row>
    <row r="5" spans="1:15" customFormat="1" ht="18.75" customHeight="1">
      <c r="A5" s="3"/>
      <c r="B5" s="132"/>
      <c r="C5" s="132"/>
      <c r="D5" s="133"/>
      <c r="E5" s="782" t="str">
        <f>+'Data Entry'!G4</f>
        <v>Accelerating Access -- Home-Based Care &amp; Indoor Residual Spraying</v>
      </c>
      <c r="F5" s="782"/>
      <c r="G5" s="782"/>
      <c r="H5" s="782"/>
      <c r="I5" s="782"/>
      <c r="J5" s="782"/>
      <c r="K5" s="782"/>
      <c r="L5" s="132" t="str">
        <f>+'Data Entry'!F16</f>
        <v>To:</v>
      </c>
      <c r="M5" s="200">
        <f>+IF(ISBLANK('Data Entry'!G16),"",'Data Entry'!G16)</f>
        <v>42369</v>
      </c>
      <c r="N5" s="200"/>
    </row>
    <row r="6" spans="1:15" customFormat="1" ht="22.5" customHeight="1">
      <c r="A6" s="3"/>
      <c r="B6" s="137"/>
      <c r="C6" s="138"/>
      <c r="D6" s="139"/>
      <c r="E6" s="921" t="s">
        <v>316</v>
      </c>
      <c r="F6" s="921"/>
      <c r="G6" s="921"/>
      <c r="H6" s="921"/>
      <c r="I6" s="921"/>
      <c r="J6" s="921"/>
      <c r="K6" s="921"/>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914" t="s">
        <v>105</v>
      </c>
      <c r="C8" s="914"/>
      <c r="D8" s="914"/>
      <c r="E8" s="914"/>
      <c r="F8" s="914"/>
      <c r="G8" s="914"/>
      <c r="H8" s="914"/>
      <c r="I8" s="914"/>
      <c r="J8" s="914"/>
      <c r="K8" s="914"/>
      <c r="L8" s="914"/>
      <c r="M8" s="914"/>
      <c r="N8" s="914"/>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937" t="s">
        <v>100</v>
      </c>
      <c r="C10" s="932"/>
      <c r="D10" s="915" t="s">
        <v>104</v>
      </c>
      <c r="E10" s="916"/>
      <c r="F10" s="916"/>
      <c r="G10" s="917"/>
      <c r="H10" s="160"/>
      <c r="I10" s="915" t="s">
        <v>316</v>
      </c>
      <c r="J10" s="916"/>
      <c r="K10" s="916"/>
      <c r="L10" s="916"/>
      <c r="M10" s="916"/>
      <c r="N10" s="917"/>
    </row>
    <row r="11" spans="1:15" s="34" customFormat="1" ht="128.25" customHeight="1">
      <c r="A11" s="157"/>
      <c r="B11" s="391" t="s">
        <v>108</v>
      </c>
      <c r="C11" s="177"/>
      <c r="D11" s="924" t="str">
        <f>IF(ISBLANK(Finance!C9),"",(Finance!C9))</f>
        <v xml:space="preserve">AGAMAL's budget for t he period under review was $521,840 and had received its total annual disbursement in prior period. AGAMAL therefore did not receive any funds in the period under review. 
</v>
      </c>
      <c r="E11" s="924"/>
      <c r="F11" s="924"/>
      <c r="G11" s="925"/>
      <c r="H11" s="183"/>
      <c r="I11" s="929"/>
      <c r="J11" s="930"/>
      <c r="K11" s="930"/>
      <c r="L11" s="930"/>
      <c r="M11" s="930"/>
      <c r="N11" s="931"/>
    </row>
    <row r="12" spans="1:15" s="34" customFormat="1" ht="215.25" customHeight="1">
      <c r="A12" s="157"/>
      <c r="B12" s="392" t="s">
        <v>109</v>
      </c>
      <c r="C12" s="178"/>
      <c r="D12" s="924" t="str">
        <f>IF(ISBLANK(Finance!C23),"",(Finance!C23))</f>
        <v>Generally, there is a positive variance in all the cost categories except Health Products, Procurement and Supply Chain Management &amp; Programme Administration.The positive variance is as a result of the timing of the start of the NFM. The budget was made to cover 12 months however NFM implementation covered 10 months ie March to December 2015. The negative variance on Health Products &amp; Equipment is as a result of insecticides procured and paid for which includes quantities meant to be used for 2016 operations rolled over from the old grant. Port clearing and handling charges on the insecticides were not budgeted for in the period under review which resulted in the negative variance on the Procurement and Supply Chain Management cost category. Finally, rent for Wa Zonal/District office was paid in advance in December 2015 instead of January 2016 as provided for in the budget. Hence the negative variance on the Programme Administration cost category.</v>
      </c>
      <c r="E12" s="924"/>
      <c r="F12" s="924"/>
      <c r="G12" s="925"/>
      <c r="H12" s="183"/>
      <c r="I12" s="926"/>
      <c r="J12" s="927"/>
      <c r="K12" s="927"/>
      <c r="L12" s="927"/>
      <c r="M12" s="927"/>
      <c r="N12" s="928"/>
    </row>
    <row r="13" spans="1:15" s="34" customFormat="1" ht="43.5" customHeight="1">
      <c r="A13" s="157"/>
      <c r="B13" s="392" t="s">
        <v>110</v>
      </c>
      <c r="C13" s="178"/>
      <c r="D13" s="924" t="str">
        <f>IF(ISBLANK(Finance!I9),"",(Finance!I9))</f>
        <v>AGAMAL received its annual budget disbursement in prior period and therefore did not receive any funding during the period under review. However, AGAMAL's total expenditure for the period October to December,2015 was $757,624.46.The excess expenditure over disbursement received was as a result of timing differences between budget and actual payment.</v>
      </c>
      <c r="E13" s="924"/>
      <c r="F13" s="924"/>
      <c r="G13" s="925"/>
      <c r="H13" s="183"/>
      <c r="I13" s="926"/>
      <c r="J13" s="927"/>
      <c r="K13" s="927"/>
      <c r="L13" s="927"/>
      <c r="M13" s="927"/>
      <c r="N13" s="928"/>
    </row>
    <row r="14" spans="1:15" s="34" customFormat="1" ht="43.5" customHeight="1" thickBot="1">
      <c r="A14" s="157"/>
      <c r="B14" s="393" t="s">
        <v>111</v>
      </c>
      <c r="C14" s="179"/>
      <c r="D14" s="944" t="str">
        <f>IF(ISBLANK(Finance!I23),"",(Finance!I23))</f>
        <v/>
      </c>
      <c r="E14" s="944"/>
      <c r="F14" s="944"/>
      <c r="G14" s="945"/>
      <c r="H14" s="183"/>
      <c r="I14" s="934"/>
      <c r="J14" s="935"/>
      <c r="K14" s="935"/>
      <c r="L14" s="935"/>
      <c r="M14" s="935"/>
      <c r="N14" s="936"/>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914" t="s">
        <v>107</v>
      </c>
      <c r="C16" s="914"/>
      <c r="D16" s="914"/>
      <c r="E16" s="914"/>
      <c r="F16" s="914"/>
      <c r="G16" s="914"/>
      <c r="H16" s="914"/>
      <c r="I16" s="914"/>
      <c r="J16" s="914"/>
      <c r="K16" s="914"/>
      <c r="L16" s="914"/>
      <c r="M16" s="914"/>
      <c r="N16" s="914"/>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932" t="s">
        <v>101</v>
      </c>
      <c r="C18" s="933"/>
      <c r="D18" s="941" t="s">
        <v>104</v>
      </c>
      <c r="E18" s="942"/>
      <c r="F18" s="942"/>
      <c r="G18" s="943"/>
      <c r="H18" s="160"/>
      <c r="I18" s="938" t="s">
        <v>316</v>
      </c>
      <c r="J18" s="939"/>
      <c r="K18" s="939"/>
      <c r="L18" s="939"/>
      <c r="M18" s="940"/>
      <c r="N18" s="940"/>
    </row>
    <row r="19" spans="1:15" s="34" customFormat="1" ht="21.95" customHeight="1">
      <c r="A19" s="157"/>
      <c r="B19" s="394" t="s">
        <v>116</v>
      </c>
      <c r="C19" s="185"/>
      <c r="D19" s="922" t="str">
        <f>IF(ISBLANK(Management!C8),"",(Management!C8))</f>
        <v/>
      </c>
      <c r="E19" s="922"/>
      <c r="F19" s="922"/>
      <c r="G19" s="923"/>
      <c r="H19" s="186"/>
      <c r="I19" s="918"/>
      <c r="J19" s="919"/>
      <c r="K19" s="919"/>
      <c r="L19" s="919"/>
      <c r="M19" s="919"/>
      <c r="N19" s="920"/>
    </row>
    <row r="20" spans="1:15" ht="24.75" customHeight="1">
      <c r="A20" s="151"/>
      <c r="B20" s="395" t="s">
        <v>117</v>
      </c>
      <c r="C20" s="187"/>
      <c r="D20" s="924" t="str">
        <f>IF(ISBLANK(Management!I8),"",(Management!I8))</f>
        <v/>
      </c>
      <c r="E20" s="924" t="e">
        <f>+'Data Entry'!D77/'Data Entry'!G77</f>
        <v>#DIV/0!</v>
      </c>
      <c r="F20" s="924" t="e">
        <f>+('Data Entry'!E77+'Data Entry'!F77)/'Data Entry'!G77</f>
        <v>#DIV/0!</v>
      </c>
      <c r="G20" s="950"/>
      <c r="H20" s="186"/>
      <c r="I20" s="946"/>
      <c r="J20" s="947"/>
      <c r="K20" s="947"/>
      <c r="L20" s="947"/>
      <c r="M20" s="947"/>
      <c r="N20" s="948"/>
      <c r="O20" s="35"/>
    </row>
    <row r="21" spans="1:15" ht="29.25" customHeight="1">
      <c r="A21" s="151"/>
      <c r="B21" s="396" t="s">
        <v>118</v>
      </c>
      <c r="C21" s="187"/>
      <c r="D21" s="924" t="str">
        <f>IF(ISBLANK(Management!C16),"",(Management!C16))</f>
        <v/>
      </c>
      <c r="E21" s="924"/>
      <c r="F21" s="924"/>
      <c r="G21" s="950"/>
      <c r="H21" s="186"/>
      <c r="I21" s="946"/>
      <c r="J21" s="947"/>
      <c r="K21" s="947"/>
      <c r="L21" s="947"/>
      <c r="M21" s="947"/>
      <c r="N21" s="948"/>
      <c r="O21" s="35"/>
    </row>
    <row r="22" spans="1:15" ht="26.25" customHeight="1">
      <c r="A22" s="151"/>
      <c r="B22" s="396" t="s">
        <v>119</v>
      </c>
      <c r="C22" s="187"/>
      <c r="D22" s="924" t="str">
        <f>IF(ISBLANK(Management!I16),"",(Management!I16))</f>
        <v/>
      </c>
      <c r="E22" s="924"/>
      <c r="F22" s="924"/>
      <c r="G22" s="950"/>
      <c r="H22" s="186"/>
      <c r="I22" s="946"/>
      <c r="J22" s="947"/>
      <c r="K22" s="947"/>
      <c r="L22" s="947"/>
      <c r="M22" s="947"/>
      <c r="N22" s="948"/>
      <c r="O22" s="35"/>
    </row>
    <row r="23" spans="1:15" ht="63" customHeight="1">
      <c r="A23" s="151"/>
      <c r="B23" s="396" t="s">
        <v>120</v>
      </c>
      <c r="C23" s="187"/>
      <c r="D23" s="924" t="str">
        <f>IF(ISBLANK(Management!C27),"",(Management!C27))</f>
        <v>Out of a budget of $133,279  $5,148,057 was spent on health products and equipment. The deficit is as a result of a roll over cost prior to the New Funding Model. Its associated budget in 2014 was not fully utilised because of delays in procuring them due to Global Fund's request for Quality Assurance Testing and the general change in spray plan.</v>
      </c>
      <c r="E23" s="924"/>
      <c r="F23" s="924"/>
      <c r="G23" s="950"/>
      <c r="H23" s="186"/>
      <c r="I23" s="946"/>
      <c r="J23" s="947"/>
      <c r="K23" s="947"/>
      <c r="L23" s="947"/>
      <c r="M23" s="947"/>
      <c r="N23" s="948"/>
      <c r="O23" s="35"/>
    </row>
    <row r="24" spans="1:15" ht="27" customHeight="1" thickBot="1">
      <c r="A24" s="151"/>
      <c r="B24" s="397" t="s">
        <v>121</v>
      </c>
      <c r="C24" s="188"/>
      <c r="D24" s="951" t="str">
        <f>IF(ISBLANK(Management!I27),"",(Management!I27))</f>
        <v/>
      </c>
      <c r="E24" s="951"/>
      <c r="F24" s="951"/>
      <c r="G24" s="952"/>
      <c r="H24" s="186"/>
      <c r="I24" s="956"/>
      <c r="J24" s="957"/>
      <c r="K24" s="957"/>
      <c r="L24" s="957"/>
      <c r="M24" s="957"/>
      <c r="N24" s="958"/>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914" t="s">
        <v>106</v>
      </c>
      <c r="C26" s="914"/>
      <c r="D26" s="914"/>
      <c r="E26" s="914"/>
      <c r="F26" s="914"/>
      <c r="G26" s="914"/>
      <c r="H26" s="914"/>
      <c r="I26" s="914"/>
      <c r="J26" s="914"/>
      <c r="K26" s="914"/>
      <c r="L26" s="914"/>
      <c r="M26" s="914"/>
      <c r="N26" s="914"/>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937" t="s">
        <v>14</v>
      </c>
      <c r="C28" s="933"/>
      <c r="D28" s="902" t="s">
        <v>104</v>
      </c>
      <c r="E28" s="903"/>
      <c r="F28" s="903"/>
      <c r="G28" s="904"/>
      <c r="H28" s="160"/>
      <c r="I28" s="902" t="s">
        <v>316</v>
      </c>
      <c r="J28" s="903"/>
      <c r="K28" s="903"/>
      <c r="L28" s="903"/>
      <c r="M28" s="903"/>
      <c r="N28" s="904"/>
      <c r="O28" s="35"/>
    </row>
    <row r="29" spans="1:15" ht="57" customHeight="1">
      <c r="A29" s="151"/>
      <c r="B29" s="398" t="s">
        <v>435</v>
      </c>
      <c r="C29" s="189"/>
      <c r="D29" s="905" t="str">
        <f>IF(ISBLANK(Programmatic!C9),"",(Programmatic!C9))</f>
        <v>No population coverage for the period under review as there was no spraying done between October to December, 2015. AGAMaL is currently spraying with a long lasting insecticide (Actelic 300CS) with residual efficacy of about 9 months. Thus only one round of spraying would be done each spray year.</v>
      </c>
      <c r="E29" s="906"/>
      <c r="F29" s="906"/>
      <c r="G29" s="907"/>
      <c r="H29" s="186"/>
      <c r="I29" s="953"/>
      <c r="J29" s="954"/>
      <c r="K29" s="954"/>
      <c r="L29" s="954"/>
      <c r="M29" s="954"/>
      <c r="N29" s="955"/>
      <c r="O29" s="35"/>
    </row>
    <row r="30" spans="1:15" ht="102.75" customHeight="1">
      <c r="A30" s="151"/>
      <c r="B30" s="399" t="s">
        <v>436</v>
      </c>
      <c r="C30" s="190"/>
      <c r="D30" s="949" t="str">
        <f>IF(ISBLANK(Programmatic!G9),"",(Programmatic!G9))</f>
        <v xml:space="preserve">The last spraying for the year was done from April to June, 2015 and data already reported to CCM. Spraying was not done for the current reporting period under review; hence the entries for Target and Achieved are zero  </v>
      </c>
      <c r="E30" s="900"/>
      <c r="F30" s="900"/>
      <c r="G30" s="901"/>
      <c r="H30" s="186"/>
      <c r="I30" s="908"/>
      <c r="J30" s="909"/>
      <c r="K30" s="909"/>
      <c r="L30" s="909"/>
      <c r="M30" s="909"/>
      <c r="N30" s="910"/>
      <c r="O30" s="35"/>
    </row>
    <row r="31" spans="1:15" ht="42" customHeight="1">
      <c r="A31" s="151"/>
      <c r="B31" s="399" t="s">
        <v>437</v>
      </c>
      <c r="C31" s="190"/>
      <c r="D31" s="949" t="str">
        <f>IF(ISBLANK(Programmatic!M9),"",(Programmatic!M9))</f>
        <v/>
      </c>
      <c r="E31" s="900"/>
      <c r="F31" s="900"/>
      <c r="G31" s="901"/>
      <c r="H31" s="186"/>
      <c r="I31" s="908"/>
      <c r="J31" s="909"/>
      <c r="K31" s="909"/>
      <c r="L31" s="909"/>
      <c r="M31" s="909"/>
      <c r="N31" s="910"/>
      <c r="O31" s="35"/>
    </row>
    <row r="32" spans="1:15" ht="85.5" customHeight="1">
      <c r="A32" s="151"/>
      <c r="B32" s="400" t="s">
        <v>438</v>
      </c>
      <c r="C32" s="190"/>
      <c r="D32" s="899" t="str">
        <f>IF(ISBLANK(Programmatic!L20),"",(Programmatic!L20))</f>
        <v>No population coverage for the period under review as there was no spraying done between October to December, 2015. AGAMaL is currently spraying with a long lasting insecticide (Actelic 300CS) with residual efficacy of about 9 months. Thus only one round of spraying would be done each spray year.</v>
      </c>
      <c r="E32" s="900"/>
      <c r="F32" s="900"/>
      <c r="G32" s="901"/>
      <c r="H32" s="186"/>
      <c r="I32" s="908"/>
      <c r="J32" s="909"/>
      <c r="K32" s="909"/>
      <c r="L32" s="909"/>
      <c r="M32" s="909"/>
      <c r="N32" s="910"/>
      <c r="O32" s="35"/>
    </row>
    <row r="33" spans="1:15" ht="103.5" customHeight="1">
      <c r="A33" s="151"/>
      <c r="B33" s="400" t="s">
        <v>439</v>
      </c>
      <c r="C33" s="190"/>
      <c r="D33" s="899" t="str">
        <f>IF(ISBLANK(Programmatic!L21),"",(Programmatic!L21))</f>
        <v xml:space="preserve">The last spraying for the year was done from April to June, 2015 and data already reported to CCM. Spraying was not done for the current reporting period under review; hence the entries for Target and Achieved are zero  </v>
      </c>
      <c r="E33" s="900"/>
      <c r="F33" s="900"/>
      <c r="G33" s="901"/>
      <c r="H33" s="186"/>
      <c r="I33" s="908"/>
      <c r="J33" s="909"/>
      <c r="K33" s="909"/>
      <c r="L33" s="909"/>
      <c r="M33" s="909"/>
      <c r="N33" s="910"/>
      <c r="O33" s="35"/>
    </row>
    <row r="34" spans="1:15" ht="27.75" customHeight="1">
      <c r="A34" s="151"/>
      <c r="B34" s="400" t="s">
        <v>440</v>
      </c>
      <c r="C34" s="190"/>
      <c r="D34" s="899" t="str">
        <f>IF(ISBLANK(Programmatic!L22),"",(Programmatic!L22))</f>
        <v/>
      </c>
      <c r="E34" s="900"/>
      <c r="F34" s="900"/>
      <c r="G34" s="901"/>
      <c r="H34" s="186"/>
      <c r="I34" s="908"/>
      <c r="J34" s="909"/>
      <c r="K34" s="909"/>
      <c r="L34" s="909"/>
      <c r="M34" s="909"/>
      <c r="N34" s="910"/>
      <c r="O34" s="35"/>
    </row>
    <row r="35" spans="1:15" ht="21.95" customHeight="1">
      <c r="A35" s="151"/>
      <c r="B35" s="400" t="s">
        <v>441</v>
      </c>
      <c r="C35" s="232"/>
      <c r="D35" s="899" t="str">
        <f>IF(ISBLANK(Programmatic!L23),"",(Programmatic!L23))</f>
        <v/>
      </c>
      <c r="E35" s="900"/>
      <c r="F35" s="900"/>
      <c r="G35" s="901"/>
      <c r="H35" s="186"/>
      <c r="I35" s="908"/>
      <c r="J35" s="909"/>
      <c r="K35" s="909"/>
      <c r="L35" s="909"/>
      <c r="M35" s="909"/>
      <c r="N35" s="910"/>
      <c r="O35" s="35"/>
    </row>
    <row r="36" spans="1:15" ht="21.95" customHeight="1">
      <c r="A36" s="151"/>
      <c r="B36" s="400" t="s">
        <v>442</v>
      </c>
      <c r="C36" s="232"/>
      <c r="D36" s="899" t="str">
        <f>IF(ISBLANK(Programmatic!L24),"",(Programmatic!L24))</f>
        <v/>
      </c>
      <c r="E36" s="900"/>
      <c r="F36" s="900"/>
      <c r="G36" s="901"/>
      <c r="H36" s="186"/>
      <c r="I36" s="908"/>
      <c r="J36" s="909"/>
      <c r="K36" s="909"/>
      <c r="L36" s="909"/>
      <c r="M36" s="909"/>
      <c r="N36" s="910"/>
      <c r="O36" s="35"/>
    </row>
    <row r="37" spans="1:15" ht="64.5" customHeight="1">
      <c r="A37" s="151"/>
      <c r="B37" s="400" t="s">
        <v>443</v>
      </c>
      <c r="C37" s="232"/>
      <c r="D37" s="899" t="str">
        <f>IF(ISBLANK(Programmatic!L25),"",(Programmatic!L25))</f>
        <v/>
      </c>
      <c r="E37" s="900"/>
      <c r="F37" s="900"/>
      <c r="G37" s="901"/>
      <c r="H37" s="186"/>
      <c r="I37" s="908"/>
      <c r="J37" s="909"/>
      <c r="K37" s="909"/>
      <c r="L37" s="909"/>
      <c r="M37" s="909"/>
      <c r="N37" s="910"/>
      <c r="O37" s="35"/>
    </row>
    <row r="38" spans="1:15" ht="21.95" customHeight="1">
      <c r="A38" s="151"/>
      <c r="B38" s="400" t="s">
        <v>444</v>
      </c>
      <c r="C38" s="232"/>
      <c r="D38" s="899" t="str">
        <f>IF(ISBLANK(Programmatic!L26),"",(Programmatic!L26))</f>
        <v/>
      </c>
      <c r="E38" s="900"/>
      <c r="F38" s="900"/>
      <c r="G38" s="901"/>
      <c r="H38" s="186"/>
      <c r="I38" s="908"/>
      <c r="J38" s="909"/>
      <c r="K38" s="909"/>
      <c r="L38" s="909"/>
      <c r="M38" s="909"/>
      <c r="N38" s="910"/>
      <c r="O38" s="35"/>
    </row>
    <row r="39" spans="1:15" ht="21.95" customHeight="1">
      <c r="A39" s="151"/>
      <c r="B39" s="400" t="s">
        <v>445</v>
      </c>
      <c r="C39" s="232"/>
      <c r="D39" s="899" t="str">
        <f>IF(ISBLANK(Programmatic!L27),"",(Programmatic!L27))</f>
        <v/>
      </c>
      <c r="E39" s="900"/>
      <c r="F39" s="900"/>
      <c r="G39" s="901"/>
      <c r="H39" s="186"/>
      <c r="I39" s="908"/>
      <c r="J39" s="909"/>
      <c r="K39" s="909"/>
      <c r="L39" s="909"/>
      <c r="M39" s="909"/>
      <c r="N39" s="910"/>
      <c r="O39" s="35"/>
    </row>
    <row r="40" spans="1:15" ht="21.95" customHeight="1">
      <c r="A40" s="151"/>
      <c r="B40" s="400" t="s">
        <v>446</v>
      </c>
      <c r="C40" s="232"/>
      <c r="D40" s="899" t="str">
        <f>IF(ISBLANK(Programmatic!L28),"",(Programmatic!L28))</f>
        <v/>
      </c>
      <c r="E40" s="900"/>
      <c r="F40" s="900"/>
      <c r="G40" s="901"/>
      <c r="H40" s="186"/>
      <c r="I40" s="908"/>
      <c r="J40" s="909"/>
      <c r="K40" s="909"/>
      <c r="L40" s="909"/>
      <c r="M40" s="909"/>
      <c r="N40" s="910"/>
      <c r="O40" s="35"/>
    </row>
    <row r="41" spans="1:15" ht="21.95" customHeight="1" thickBot="1">
      <c r="A41" s="151"/>
      <c r="B41" s="400" t="s">
        <v>447</v>
      </c>
      <c r="C41" s="191"/>
      <c r="D41" s="899" t="str">
        <f>IF(ISBLANK(Programmatic!L29),"",(Programmatic!L29))</f>
        <v/>
      </c>
      <c r="E41" s="900"/>
      <c r="F41" s="900"/>
      <c r="G41" s="901"/>
      <c r="H41" s="186"/>
      <c r="I41" s="911"/>
      <c r="J41" s="912"/>
      <c r="K41" s="912"/>
      <c r="L41" s="912"/>
      <c r="M41" s="912"/>
      <c r="N41" s="913"/>
      <c r="O41" s="35"/>
    </row>
    <row r="42" spans="1:15" ht="14.25">
      <c r="A42" s="151"/>
      <c r="B42" s="192"/>
      <c r="C42" s="192"/>
      <c r="D42" s="193"/>
      <c r="E42" s="151"/>
      <c r="F42" s="192"/>
      <c r="G42" s="192"/>
      <c r="H42" s="151"/>
      <c r="I42" s="194"/>
      <c r="J42" s="151"/>
      <c r="K42" s="195"/>
      <c r="L42" s="195"/>
      <c r="M42" s="195"/>
      <c r="N42" s="195"/>
      <c r="O42" s="35"/>
    </row>
  </sheetData>
  <sheetProtection password="CFC9" sheet="1" objects="1" scenarios="1"/>
  <mergeCells count="65">
    <mergeCell ref="I36:N36"/>
    <mergeCell ref="I37:N37"/>
    <mergeCell ref="I38:N38"/>
    <mergeCell ref="I39:N39"/>
    <mergeCell ref="I24:N24"/>
    <mergeCell ref="I33:N33"/>
    <mergeCell ref="I30:N30"/>
    <mergeCell ref="I34:N34"/>
    <mergeCell ref="I20:N20"/>
    <mergeCell ref="B26:N26"/>
    <mergeCell ref="D36:G36"/>
    <mergeCell ref="D30:G30"/>
    <mergeCell ref="D31:G31"/>
    <mergeCell ref="I21:N21"/>
    <mergeCell ref="D20:G20"/>
    <mergeCell ref="B28:C28"/>
    <mergeCell ref="D22:G22"/>
    <mergeCell ref="D23:G23"/>
    <mergeCell ref="I22:N22"/>
    <mergeCell ref="I23:N23"/>
    <mergeCell ref="D21:G21"/>
    <mergeCell ref="D24:G24"/>
    <mergeCell ref="D33:G33"/>
    <mergeCell ref="I29:N29"/>
    <mergeCell ref="B18:C18"/>
    <mergeCell ref="I13:N13"/>
    <mergeCell ref="I14:N14"/>
    <mergeCell ref="B10:C10"/>
    <mergeCell ref="D10:G10"/>
    <mergeCell ref="I18:N18"/>
    <mergeCell ref="D18:G18"/>
    <mergeCell ref="B16:N16"/>
    <mergeCell ref="D14:G14"/>
    <mergeCell ref="B8:N8"/>
    <mergeCell ref="I10:N10"/>
    <mergeCell ref="I19:N19"/>
    <mergeCell ref="B2:N2"/>
    <mergeCell ref="E5:K5"/>
    <mergeCell ref="E6:K6"/>
    <mergeCell ref="E3:K3"/>
    <mergeCell ref="C4:D4"/>
    <mergeCell ref="E4:K4"/>
    <mergeCell ref="C3:D3"/>
    <mergeCell ref="D19:G19"/>
    <mergeCell ref="D11:G11"/>
    <mergeCell ref="D13:G13"/>
    <mergeCell ref="I12:N12"/>
    <mergeCell ref="D12:G12"/>
    <mergeCell ref="I11:N11"/>
    <mergeCell ref="D41:G41"/>
    <mergeCell ref="I28:N28"/>
    <mergeCell ref="D40:G40"/>
    <mergeCell ref="D34:G34"/>
    <mergeCell ref="D29:G29"/>
    <mergeCell ref="D28:G28"/>
    <mergeCell ref="I31:N31"/>
    <mergeCell ref="I40:N40"/>
    <mergeCell ref="I41:N41"/>
    <mergeCell ref="I35:N35"/>
    <mergeCell ref="D35:G35"/>
    <mergeCell ref="D32:G32"/>
    <mergeCell ref="D39:G39"/>
    <mergeCell ref="D38:G38"/>
    <mergeCell ref="D37:G37"/>
    <mergeCell ref="I32:N32"/>
  </mergeCells>
  <phoneticPr fontId="31"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zoomScalePageLayoutView="80" workbookViewId="0">
      <selection activeCell="I30" sqref="I30"/>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59" t="str">
        <f>'Grant Detail'!B3:J3</f>
        <v>Dashboard:  Ghana - MALARIA  (AngloGold Asanti (Ghana) Malaria Ltd)</v>
      </c>
      <c r="C3" s="959"/>
      <c r="D3" s="959"/>
      <c r="E3" s="959"/>
      <c r="F3" s="959"/>
      <c r="G3" s="959"/>
      <c r="H3" s="959"/>
      <c r="I3" s="1"/>
    </row>
    <row r="6" spans="2:15" ht="18.75">
      <c r="B6" s="889" t="s">
        <v>317</v>
      </c>
      <c r="C6" s="889"/>
      <c r="D6" s="889"/>
      <c r="E6" s="889"/>
      <c r="F6" s="889"/>
      <c r="G6" s="889"/>
      <c r="H6" s="889"/>
    </row>
    <row r="8" spans="2:15" ht="18.75">
      <c r="B8" s="62" t="s">
        <v>40</v>
      </c>
      <c r="C8" s="62" t="s">
        <v>43</v>
      </c>
      <c r="D8" s="62" t="s">
        <v>44</v>
      </c>
      <c r="E8" s="62" t="s">
        <v>49</v>
      </c>
      <c r="F8" s="62" t="s">
        <v>291</v>
      </c>
      <c r="G8" s="62" t="s">
        <v>271</v>
      </c>
      <c r="H8" s="62" t="s">
        <v>297</v>
      </c>
      <c r="I8" s="63" t="s">
        <v>94</v>
      </c>
      <c r="J8" s="63" t="s">
        <v>135</v>
      </c>
      <c r="M8" s="19"/>
      <c r="N8" s="19"/>
      <c r="O8" s="19"/>
    </row>
    <row r="9" spans="2:15">
      <c r="B9" s="86" t="s">
        <v>355</v>
      </c>
      <c r="C9" s="86" t="s">
        <v>355</v>
      </c>
      <c r="D9" s="86" t="s">
        <v>355</v>
      </c>
      <c r="E9" s="86" t="s">
        <v>355</v>
      </c>
      <c r="F9" s="86" t="s">
        <v>355</v>
      </c>
      <c r="G9" s="86" t="s">
        <v>355</v>
      </c>
      <c r="H9" s="86" t="s">
        <v>355</v>
      </c>
      <c r="I9" s="381" t="s">
        <v>355</v>
      </c>
      <c r="J9" s="86" t="s">
        <v>355</v>
      </c>
      <c r="M9" s="19"/>
      <c r="N9" s="19"/>
      <c r="O9" s="19"/>
    </row>
    <row r="10" spans="2:15">
      <c r="B10" s="57" t="s">
        <v>35</v>
      </c>
      <c r="C10" s="57" t="s">
        <v>26</v>
      </c>
      <c r="D10" s="57" t="s">
        <v>24</v>
      </c>
      <c r="E10" s="57" t="s">
        <v>25</v>
      </c>
      <c r="F10" s="57" t="s">
        <v>112</v>
      </c>
      <c r="G10" s="390" t="s">
        <v>51</v>
      </c>
      <c r="H10" s="60" t="s">
        <v>56</v>
      </c>
      <c r="I10" s="27" t="s">
        <v>302</v>
      </c>
      <c r="J10" s="86" t="s">
        <v>136</v>
      </c>
      <c r="M10" s="19"/>
      <c r="N10" s="19"/>
      <c r="O10" s="19"/>
    </row>
    <row r="11" spans="2:15">
      <c r="B11" s="57" t="s">
        <v>41</v>
      </c>
      <c r="C11" s="57" t="s">
        <v>21</v>
      </c>
      <c r="D11" s="57" t="s">
        <v>27</v>
      </c>
      <c r="E11" s="57" t="s">
        <v>23</v>
      </c>
      <c r="F11" s="57" t="s">
        <v>113</v>
      </c>
      <c r="G11" s="390" t="s">
        <v>52</v>
      </c>
      <c r="H11" s="60" t="s">
        <v>57</v>
      </c>
      <c r="I11" s="27" t="s">
        <v>303</v>
      </c>
      <c r="J11" s="86" t="s">
        <v>137</v>
      </c>
      <c r="M11" s="19"/>
      <c r="N11" s="19"/>
      <c r="O11" s="19"/>
    </row>
    <row r="12" spans="2:15">
      <c r="B12" s="57" t="s">
        <v>42</v>
      </c>
      <c r="D12" s="57" t="s">
        <v>30</v>
      </c>
      <c r="E12" s="57" t="s">
        <v>31</v>
      </c>
      <c r="F12" s="57" t="s">
        <v>114</v>
      </c>
      <c r="G12" s="390" t="s">
        <v>53</v>
      </c>
      <c r="H12" s="60" t="s">
        <v>58</v>
      </c>
      <c r="I12" s="27" t="s">
        <v>304</v>
      </c>
      <c r="J12" s="86" t="s">
        <v>138</v>
      </c>
      <c r="M12" s="196"/>
      <c r="N12" s="19"/>
      <c r="O12" s="19"/>
    </row>
    <row r="13" spans="2:15">
      <c r="B13" s="57" t="s">
        <v>90</v>
      </c>
      <c r="D13" s="57" t="s">
        <v>32</v>
      </c>
      <c r="E13" s="58"/>
      <c r="F13" s="57" t="s">
        <v>115</v>
      </c>
      <c r="G13" s="390" t="s">
        <v>54</v>
      </c>
      <c r="H13" s="60" t="s">
        <v>59</v>
      </c>
      <c r="I13" s="27" t="s">
        <v>305</v>
      </c>
      <c r="J13" s="86" t="s">
        <v>139</v>
      </c>
      <c r="M13" s="196"/>
      <c r="N13" s="19"/>
      <c r="O13" s="19"/>
    </row>
    <row r="14" spans="2:15">
      <c r="B14" s="57" t="s">
        <v>91</v>
      </c>
      <c r="D14" s="57" t="s">
        <v>45</v>
      </c>
      <c r="F14" s="57" t="s">
        <v>126</v>
      </c>
      <c r="G14" s="390" t="s">
        <v>55</v>
      </c>
      <c r="H14" s="60" t="s">
        <v>60</v>
      </c>
      <c r="I14" s="27" t="s">
        <v>277</v>
      </c>
      <c r="J14" s="86" t="s">
        <v>140</v>
      </c>
      <c r="M14" s="196"/>
      <c r="N14" s="19"/>
      <c r="O14" s="19"/>
    </row>
    <row r="15" spans="2:15">
      <c r="D15" s="57" t="s">
        <v>46</v>
      </c>
      <c r="F15" s="57" t="s">
        <v>127</v>
      </c>
      <c r="H15" s="60" t="s">
        <v>61</v>
      </c>
      <c r="I15" s="27" t="s">
        <v>77</v>
      </c>
      <c r="J15" s="86" t="s">
        <v>141</v>
      </c>
      <c r="M15" s="196"/>
      <c r="N15" s="19"/>
      <c r="O15" s="19"/>
    </row>
    <row r="16" spans="2:15">
      <c r="D16" s="57" t="s">
        <v>47</v>
      </c>
      <c r="F16" s="57" t="s">
        <v>128</v>
      </c>
      <c r="H16" s="60" t="s">
        <v>62</v>
      </c>
      <c r="I16" s="27" t="s">
        <v>78</v>
      </c>
      <c r="J16" s="86" t="s">
        <v>142</v>
      </c>
      <c r="M16" s="196"/>
      <c r="N16" s="19"/>
      <c r="O16" s="19"/>
    </row>
    <row r="17" spans="2:15">
      <c r="D17" s="57" t="s">
        <v>48</v>
      </c>
      <c r="F17" s="57" t="s">
        <v>129</v>
      </c>
      <c r="H17" s="60" t="s">
        <v>63</v>
      </c>
      <c r="I17" s="27" t="s">
        <v>79</v>
      </c>
      <c r="J17" s="86" t="s">
        <v>143</v>
      </c>
      <c r="M17" s="196"/>
      <c r="N17" s="19"/>
      <c r="O17" s="19"/>
    </row>
    <row r="18" spans="2:15">
      <c r="D18" s="57" t="s">
        <v>22</v>
      </c>
      <c r="F18" s="57" t="s">
        <v>130</v>
      </c>
      <c r="H18" s="60" t="s">
        <v>64</v>
      </c>
      <c r="I18" s="27" t="s">
        <v>80</v>
      </c>
      <c r="J18" s="86" t="s">
        <v>144</v>
      </c>
      <c r="M18" s="196"/>
      <c r="N18" s="19"/>
      <c r="O18" s="19"/>
    </row>
    <row r="19" spans="2:15">
      <c r="D19" s="389" t="s">
        <v>351</v>
      </c>
      <c r="F19" s="57" t="s">
        <v>131</v>
      </c>
      <c r="H19" s="60" t="s">
        <v>65</v>
      </c>
      <c r="I19" s="27" t="s">
        <v>81</v>
      </c>
      <c r="J19" s="86" t="s">
        <v>145</v>
      </c>
      <c r="M19" s="196"/>
      <c r="N19" s="19"/>
      <c r="O19" s="19"/>
    </row>
    <row r="20" spans="2:15">
      <c r="D20" s="59"/>
      <c r="F20" s="57" t="s">
        <v>132</v>
      </c>
      <c r="H20" s="60" t="s">
        <v>268</v>
      </c>
      <c r="I20" s="27" t="s">
        <v>82</v>
      </c>
      <c r="J20" s="86" t="s">
        <v>146</v>
      </c>
      <c r="M20" s="19"/>
      <c r="N20" s="19"/>
      <c r="O20" s="19"/>
    </row>
    <row r="21" spans="2:15">
      <c r="D21" s="61"/>
      <c r="F21" s="57" t="s">
        <v>292</v>
      </c>
      <c r="H21" s="61"/>
      <c r="I21" s="27" t="s">
        <v>84</v>
      </c>
      <c r="J21" s="86" t="s">
        <v>147</v>
      </c>
      <c r="M21" s="19"/>
      <c r="N21" s="19"/>
      <c r="O21" s="19"/>
    </row>
    <row r="22" spans="2:15">
      <c r="H22" s="61"/>
      <c r="I22" s="27" t="s">
        <v>85</v>
      </c>
      <c r="J22" s="86" t="s">
        <v>148</v>
      </c>
      <c r="M22" s="19"/>
      <c r="N22" s="19"/>
      <c r="O22" s="19"/>
    </row>
    <row r="23" spans="2:15">
      <c r="I23" s="27" t="s">
        <v>83</v>
      </c>
      <c r="J23" s="86" t="s">
        <v>149</v>
      </c>
      <c r="M23" s="19"/>
      <c r="N23" s="19"/>
      <c r="O23" s="19"/>
    </row>
    <row r="24" spans="2:15">
      <c r="I24" s="27" t="s">
        <v>312</v>
      </c>
      <c r="J24" s="86" t="s">
        <v>150</v>
      </c>
      <c r="M24" s="19"/>
      <c r="N24" s="19"/>
      <c r="O24" s="19"/>
    </row>
    <row r="25" spans="2:15">
      <c r="I25" s="45"/>
      <c r="J25" s="86" t="s">
        <v>151</v>
      </c>
    </row>
    <row r="26" spans="2:15">
      <c r="I26" s="27" t="s">
        <v>315</v>
      </c>
      <c r="J26" s="86" t="s">
        <v>152</v>
      </c>
    </row>
    <row r="27" spans="2:15">
      <c r="I27" s="27" t="s">
        <v>311</v>
      </c>
      <c r="J27" s="86" t="s">
        <v>153</v>
      </c>
    </row>
    <row r="28" spans="2:15">
      <c r="I28" s="45" t="s">
        <v>413</v>
      </c>
      <c r="J28" s="86" t="s">
        <v>154</v>
      </c>
    </row>
    <row r="29" spans="2:15">
      <c r="I29" s="45" t="s">
        <v>414</v>
      </c>
      <c r="J29" s="86" t="s">
        <v>155</v>
      </c>
    </row>
    <row r="30" spans="2:15">
      <c r="I30" s="45" t="s">
        <v>415</v>
      </c>
      <c r="J30" s="86" t="s">
        <v>156</v>
      </c>
    </row>
    <row r="31" spans="2:15">
      <c r="B31" t="s">
        <v>410</v>
      </c>
      <c r="J31" s="86" t="s">
        <v>157</v>
      </c>
    </row>
    <row r="32" spans="2:15">
      <c r="B32" t="s">
        <v>409</v>
      </c>
      <c r="J32" s="86" t="s">
        <v>158</v>
      </c>
    </row>
    <row r="33" spans="10:10">
      <c r="J33" s="86" t="s">
        <v>159</v>
      </c>
    </row>
    <row r="34" spans="10:10">
      <c r="J34" s="86" t="s">
        <v>160</v>
      </c>
    </row>
    <row r="35" spans="10:10">
      <c r="J35" s="86" t="s">
        <v>161</v>
      </c>
    </row>
    <row r="36" spans="10:10">
      <c r="J36" s="86" t="s">
        <v>161</v>
      </c>
    </row>
    <row r="37" spans="10:10">
      <c r="J37" s="86" t="s">
        <v>162</v>
      </c>
    </row>
    <row r="38" spans="10:10">
      <c r="J38" s="86" t="s">
        <v>163</v>
      </c>
    </row>
    <row r="39" spans="10:10">
      <c r="J39" s="86" t="s">
        <v>164</v>
      </c>
    </row>
    <row r="40" spans="10:10">
      <c r="J40" s="86" t="s">
        <v>165</v>
      </c>
    </row>
    <row r="41" spans="10:10">
      <c r="J41" s="86" t="s">
        <v>166</v>
      </c>
    </row>
    <row r="42" spans="10:10">
      <c r="J42" s="86" t="s">
        <v>167</v>
      </c>
    </row>
    <row r="43" spans="10:10">
      <c r="J43" s="86" t="s">
        <v>168</v>
      </c>
    </row>
    <row r="44" spans="10:10">
      <c r="J44" s="86" t="s">
        <v>169</v>
      </c>
    </row>
    <row r="45" spans="10:10">
      <c r="J45" s="86" t="s">
        <v>170</v>
      </c>
    </row>
    <row r="46" spans="10:10">
      <c r="J46" s="86" t="s">
        <v>171</v>
      </c>
    </row>
    <row r="47" spans="10:10">
      <c r="J47" s="86" t="s">
        <v>172</v>
      </c>
    </row>
    <row r="48" spans="10:10">
      <c r="J48" s="86" t="s">
        <v>173</v>
      </c>
    </row>
    <row r="49" spans="10:10">
      <c r="J49" s="86" t="s">
        <v>174</v>
      </c>
    </row>
    <row r="50" spans="10:10">
      <c r="J50" s="86" t="s">
        <v>175</v>
      </c>
    </row>
    <row r="51" spans="10:10">
      <c r="J51" s="86" t="s">
        <v>176</v>
      </c>
    </row>
    <row r="52" spans="10:10">
      <c r="J52" s="86" t="s">
        <v>177</v>
      </c>
    </row>
    <row r="53" spans="10:10">
      <c r="J53" s="86" t="s">
        <v>178</v>
      </c>
    </row>
    <row r="54" spans="10:10">
      <c r="J54" s="86" t="s">
        <v>179</v>
      </c>
    </row>
    <row r="55" spans="10:10">
      <c r="J55" s="86" t="s">
        <v>180</v>
      </c>
    </row>
    <row r="56" spans="10:10">
      <c r="J56" s="86" t="s">
        <v>181</v>
      </c>
    </row>
    <row r="57" spans="10:10">
      <c r="J57" s="86" t="s">
        <v>182</v>
      </c>
    </row>
    <row r="58" spans="10:10">
      <c r="J58" s="86" t="s">
        <v>183</v>
      </c>
    </row>
    <row r="59" spans="10:10">
      <c r="J59" s="86" t="s">
        <v>184</v>
      </c>
    </row>
    <row r="60" spans="10:10">
      <c r="J60" s="86" t="s">
        <v>185</v>
      </c>
    </row>
    <row r="61" spans="10:10">
      <c r="J61" s="86" t="s">
        <v>186</v>
      </c>
    </row>
    <row r="62" spans="10:10">
      <c r="J62" s="86" t="s">
        <v>187</v>
      </c>
    </row>
    <row r="63" spans="10:10">
      <c r="J63" s="86" t="s">
        <v>188</v>
      </c>
    </row>
    <row r="64" spans="10:10">
      <c r="J64" s="86" t="s">
        <v>189</v>
      </c>
    </row>
    <row r="65" spans="10:10">
      <c r="J65" s="86" t="s">
        <v>190</v>
      </c>
    </row>
    <row r="66" spans="10:10">
      <c r="J66" s="86" t="s">
        <v>191</v>
      </c>
    </row>
    <row r="67" spans="10:10">
      <c r="J67" s="86" t="s">
        <v>192</v>
      </c>
    </row>
    <row r="68" spans="10:10">
      <c r="J68" s="86" t="s">
        <v>193</v>
      </c>
    </row>
    <row r="69" spans="10:10">
      <c r="J69" s="86" t="s">
        <v>194</v>
      </c>
    </row>
    <row r="70" spans="10:10">
      <c r="J70" s="86" t="s">
        <v>195</v>
      </c>
    </row>
    <row r="71" spans="10:10">
      <c r="J71" s="86" t="s">
        <v>196</v>
      </c>
    </row>
    <row r="72" spans="10:10">
      <c r="J72" s="86" t="s">
        <v>197</v>
      </c>
    </row>
    <row r="73" spans="10:10">
      <c r="J73" s="86" t="s">
        <v>198</v>
      </c>
    </row>
    <row r="74" spans="10:10">
      <c r="J74" s="86" t="s">
        <v>199</v>
      </c>
    </row>
    <row r="75" spans="10:10">
      <c r="J75" s="86" t="s">
        <v>200</v>
      </c>
    </row>
    <row r="76" spans="10:10">
      <c r="J76" s="86" t="s">
        <v>201</v>
      </c>
    </row>
    <row r="77" spans="10:10">
      <c r="J77" s="86" t="s">
        <v>202</v>
      </c>
    </row>
    <row r="78" spans="10:10">
      <c r="J78" s="86" t="s">
        <v>203</v>
      </c>
    </row>
    <row r="79" spans="10:10">
      <c r="J79" s="86" t="s">
        <v>204</v>
      </c>
    </row>
    <row r="80" spans="10:10">
      <c r="J80" s="86" t="s">
        <v>205</v>
      </c>
    </row>
    <row r="81" spans="10:10">
      <c r="J81" s="86" t="s">
        <v>206</v>
      </c>
    </row>
    <row r="82" spans="10:10">
      <c r="J82" s="86" t="s">
        <v>207</v>
      </c>
    </row>
    <row r="83" spans="10:10">
      <c r="J83" s="86" t="s">
        <v>208</v>
      </c>
    </row>
    <row r="84" spans="10:10">
      <c r="J84" s="86" t="s">
        <v>209</v>
      </c>
    </row>
    <row r="85" spans="10:10">
      <c r="J85" s="86" t="s">
        <v>210</v>
      </c>
    </row>
    <row r="86" spans="10:10">
      <c r="J86" s="86" t="s">
        <v>211</v>
      </c>
    </row>
    <row r="87" spans="10:10">
      <c r="J87" s="86" t="s">
        <v>212</v>
      </c>
    </row>
    <row r="88" spans="10:10">
      <c r="J88" s="86" t="s">
        <v>213</v>
      </c>
    </row>
    <row r="89" spans="10:10">
      <c r="J89" s="86" t="s">
        <v>214</v>
      </c>
    </row>
    <row r="90" spans="10:10">
      <c r="J90" s="86" t="s">
        <v>215</v>
      </c>
    </row>
    <row r="91" spans="10:10">
      <c r="J91" s="86" t="s">
        <v>216</v>
      </c>
    </row>
    <row r="92" spans="10:10">
      <c r="J92" s="86" t="s">
        <v>217</v>
      </c>
    </row>
    <row r="93" spans="10:10">
      <c r="J93" s="86" t="s">
        <v>218</v>
      </c>
    </row>
    <row r="94" spans="10:10">
      <c r="J94" s="86" t="s">
        <v>219</v>
      </c>
    </row>
    <row r="95" spans="10:10">
      <c r="J95" s="86" t="s">
        <v>220</v>
      </c>
    </row>
    <row r="96" spans="10:10">
      <c r="J96" s="86" t="s">
        <v>221</v>
      </c>
    </row>
    <row r="97" spans="10:10">
      <c r="J97" s="86" t="s">
        <v>222</v>
      </c>
    </row>
    <row r="98" spans="10:10">
      <c r="J98" s="86" t="s">
        <v>223</v>
      </c>
    </row>
    <row r="99" spans="10:10">
      <c r="J99" s="86" t="s">
        <v>224</v>
      </c>
    </row>
    <row r="100" spans="10:10">
      <c r="J100" s="86" t="s">
        <v>225</v>
      </c>
    </row>
    <row r="101" spans="10:10">
      <c r="J101" s="86" t="s">
        <v>226</v>
      </c>
    </row>
    <row r="102" spans="10:10">
      <c r="J102" s="86" t="s">
        <v>227</v>
      </c>
    </row>
    <row r="103" spans="10:10">
      <c r="J103" s="86" t="s">
        <v>228</v>
      </c>
    </row>
    <row r="104" spans="10:10">
      <c r="J104" s="86" t="s">
        <v>229</v>
      </c>
    </row>
    <row r="105" spans="10:10">
      <c r="J105" s="86" t="s">
        <v>230</v>
      </c>
    </row>
    <row r="106" spans="10:10">
      <c r="J106" s="86" t="s">
        <v>231</v>
      </c>
    </row>
    <row r="107" spans="10:10">
      <c r="J107" s="86" t="s">
        <v>232</v>
      </c>
    </row>
    <row r="108" spans="10:10">
      <c r="J108" s="86" t="s">
        <v>233</v>
      </c>
    </row>
    <row r="109" spans="10:10">
      <c r="J109" s="86" t="s">
        <v>234</v>
      </c>
    </row>
    <row r="110" spans="10:10">
      <c r="J110" s="86" t="s">
        <v>235</v>
      </c>
    </row>
    <row r="111" spans="10:10">
      <c r="J111" s="86" t="s">
        <v>87</v>
      </c>
    </row>
    <row r="112" spans="10:10">
      <c r="J112" s="86" t="s">
        <v>236</v>
      </c>
    </row>
    <row r="113" spans="10:10">
      <c r="J113" s="86" t="s">
        <v>237</v>
      </c>
    </row>
    <row r="114" spans="10:10">
      <c r="J114" s="86" t="s">
        <v>238</v>
      </c>
    </row>
    <row r="115" spans="10:10">
      <c r="J115" s="86" t="s">
        <v>239</v>
      </c>
    </row>
    <row r="116" spans="10:10">
      <c r="J116" s="86" t="s">
        <v>240</v>
      </c>
    </row>
    <row r="117" spans="10:10">
      <c r="J117" s="86" t="s">
        <v>241</v>
      </c>
    </row>
    <row r="118" spans="10:10">
      <c r="J118" s="86" t="s">
        <v>242</v>
      </c>
    </row>
    <row r="119" spans="10:10">
      <c r="J119" s="86" t="s">
        <v>243</v>
      </c>
    </row>
    <row r="120" spans="10:10">
      <c r="J120" s="86" t="s">
        <v>244</v>
      </c>
    </row>
    <row r="121" spans="10:10">
      <c r="J121" s="86" t="s">
        <v>245</v>
      </c>
    </row>
    <row r="122" spans="10:10">
      <c r="J122" s="86" t="s">
        <v>246</v>
      </c>
    </row>
    <row r="123" spans="10:10">
      <c r="J123" s="86" t="s">
        <v>247</v>
      </c>
    </row>
    <row r="124" spans="10:10">
      <c r="J124" s="86" t="s">
        <v>248</v>
      </c>
    </row>
    <row r="125" spans="10:10">
      <c r="J125" s="86" t="s">
        <v>249</v>
      </c>
    </row>
    <row r="126" spans="10:10">
      <c r="J126" s="86" t="s">
        <v>250</v>
      </c>
    </row>
    <row r="127" spans="10:10">
      <c r="J127" s="86" t="s">
        <v>251</v>
      </c>
    </row>
    <row r="128" spans="10:10">
      <c r="J128" s="86" t="s">
        <v>252</v>
      </c>
    </row>
    <row r="129" spans="10:10">
      <c r="J129" s="86" t="s">
        <v>253</v>
      </c>
    </row>
    <row r="130" spans="10:10">
      <c r="J130" s="86" t="s">
        <v>254</v>
      </c>
    </row>
    <row r="131" spans="10:10">
      <c r="J131" s="86" t="s">
        <v>255</v>
      </c>
    </row>
    <row r="132" spans="10:10">
      <c r="J132" s="86" t="s">
        <v>256</v>
      </c>
    </row>
    <row r="133" spans="10:10">
      <c r="J133" s="86" t="s">
        <v>257</v>
      </c>
    </row>
    <row r="134" spans="10:10">
      <c r="J134" s="86" t="s">
        <v>258</v>
      </c>
    </row>
    <row r="135" spans="10:10">
      <c r="J135" s="86" t="s">
        <v>259</v>
      </c>
    </row>
    <row r="136" spans="10:10">
      <c r="J136" s="86" t="s">
        <v>260</v>
      </c>
    </row>
    <row r="137" spans="10:10">
      <c r="J137" s="86" t="s">
        <v>261</v>
      </c>
    </row>
    <row r="138" spans="10:10">
      <c r="J138" s="86" t="s">
        <v>262</v>
      </c>
    </row>
    <row r="139" spans="10:10">
      <c r="J139" s="86" t="s">
        <v>263</v>
      </c>
    </row>
    <row r="140" spans="10:10">
      <c r="J140" s="86" t="s">
        <v>264</v>
      </c>
    </row>
    <row r="141" spans="10:10">
      <c r="J141" s="86" t="s">
        <v>265</v>
      </c>
    </row>
    <row r="142" spans="10:10">
      <c r="J142" s="86" t="s">
        <v>266</v>
      </c>
    </row>
    <row r="143" spans="10:10">
      <c r="J143" s="86" t="s">
        <v>267</v>
      </c>
    </row>
    <row r="144" spans="10:10">
      <c r="J144" s="379"/>
    </row>
  </sheetData>
  <mergeCells count="2">
    <mergeCell ref="B3:H3"/>
    <mergeCell ref="B6:H6"/>
  </mergeCells>
  <phoneticPr fontId="31"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1"/>
  <sheetViews>
    <sheetView showGridLines="0" workbookViewId="0">
      <pane ySplit="2" topLeftCell="A33" activePane="bottomLeft" state="frozen"/>
      <selection activeCell="E22" sqref="E22"/>
      <selection pane="bottomLeft" activeCell="J36" sqref="J36:L36"/>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11.140625" customWidth="1"/>
    <col min="10" max="10" width="14.140625" customWidth="1"/>
    <col min="11" max="11" width="7.7109375" customWidth="1"/>
    <col min="12" max="12" width="8.85546875" customWidth="1"/>
    <col min="13" max="13" width="16.85546875" customWidth="1"/>
    <col min="14" max="14" width="2.42578125" style="36" customWidth="1"/>
    <col min="15" max="15" width="13.28515625" style="36" customWidth="1"/>
    <col min="16" max="16" width="2.42578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658" t="str">
        <f>'Grant Detail'!B3:J3</f>
        <v>Dashboard:  Ghana - MALARIA  (AngloGold Asanti (Ghana) Malaria Ltd)</v>
      </c>
      <c r="C2" s="658"/>
      <c r="D2" s="658"/>
      <c r="E2" s="658"/>
      <c r="F2" s="658"/>
      <c r="G2" s="658"/>
      <c r="H2" s="658"/>
      <c r="I2" s="658"/>
      <c r="J2" s="658"/>
      <c r="K2" s="658"/>
      <c r="L2" s="658"/>
      <c r="M2" s="658"/>
    </row>
    <row r="3" spans="1:15" ht="15.75" customHeight="1">
      <c r="A3" s="3"/>
      <c r="B3" s="221"/>
      <c r="C3" s="221"/>
      <c r="D3" s="221"/>
      <c r="E3" s="221"/>
      <c r="F3" s="221"/>
      <c r="G3" s="221"/>
      <c r="H3" s="221"/>
      <c r="I3" s="221"/>
      <c r="J3" s="221"/>
      <c r="K3" s="222"/>
      <c r="L3" s="222"/>
      <c r="M3" s="3"/>
    </row>
    <row r="4" spans="1:15" ht="21">
      <c r="G4" s="438" t="s">
        <v>95</v>
      </c>
    </row>
    <row r="5" spans="1:15">
      <c r="B5" s="571" t="s">
        <v>288</v>
      </c>
      <c r="C5" s="571"/>
      <c r="D5" s="571"/>
      <c r="E5" s="571"/>
      <c r="F5" s="571"/>
      <c r="G5" s="571"/>
      <c r="H5" s="571"/>
      <c r="I5" s="571"/>
      <c r="J5" s="571"/>
      <c r="K5" s="571"/>
      <c r="L5" s="571"/>
      <c r="M5" s="571"/>
      <c r="N5" s="571"/>
      <c r="O5" s="571"/>
    </row>
    <row r="7" spans="1:15">
      <c r="B7" s="659" t="s">
        <v>278</v>
      </c>
      <c r="C7" s="660"/>
      <c r="D7" s="661"/>
      <c r="E7" s="659" t="s">
        <v>279</v>
      </c>
      <c r="F7" s="660"/>
      <c r="G7" s="660"/>
      <c r="H7" s="660"/>
      <c r="I7" s="661"/>
      <c r="J7" s="659" t="s">
        <v>280</v>
      </c>
      <c r="K7" s="660"/>
      <c r="L7" s="661"/>
      <c r="M7" s="659" t="s">
        <v>336</v>
      </c>
      <c r="N7" s="660"/>
      <c r="O7" s="661"/>
    </row>
    <row r="8" spans="1:15" ht="92.25" customHeight="1">
      <c r="B8" s="637" t="str">
        <f>+'Data Entry'!B27</f>
        <v>F1: Budget and disbursements by Global Fund</v>
      </c>
      <c r="C8" s="638"/>
      <c r="D8" s="639"/>
      <c r="E8" s="662" t="s">
        <v>385</v>
      </c>
      <c r="F8" s="663"/>
      <c r="G8" s="663"/>
      <c r="H8" s="663"/>
      <c r="I8" s="664"/>
      <c r="J8" s="612" t="s">
        <v>337</v>
      </c>
      <c r="K8" s="613"/>
      <c r="L8" s="614"/>
      <c r="M8" s="612" t="s">
        <v>374</v>
      </c>
      <c r="N8" s="613"/>
      <c r="O8" s="614"/>
    </row>
    <row r="9" spans="1:15" ht="117.75" customHeight="1">
      <c r="B9" s="637" t="str">
        <f>+'Data Entry'!B36</f>
        <v>F2: Budget and actual expenditures by category</v>
      </c>
      <c r="C9" s="638"/>
      <c r="D9" s="639"/>
      <c r="E9" s="603" t="s">
        <v>3</v>
      </c>
      <c r="F9" s="604"/>
      <c r="G9" s="604"/>
      <c r="H9" s="604"/>
      <c r="I9" s="605"/>
      <c r="J9" s="612" t="s">
        <v>339</v>
      </c>
      <c r="K9" s="613"/>
      <c r="L9" s="614"/>
      <c r="M9" s="612" t="s">
        <v>374</v>
      </c>
      <c r="N9" s="613"/>
      <c r="O9" s="614"/>
    </row>
    <row r="10" spans="1:15" ht="253.5" customHeight="1">
      <c r="B10" s="646" t="str">
        <f>+'Data Entry'!B53</f>
        <v>F3: Disbursements and expenditures</v>
      </c>
      <c r="C10" s="665"/>
      <c r="D10" s="666"/>
      <c r="E10" s="606" t="s">
        <v>2</v>
      </c>
      <c r="F10" s="607"/>
      <c r="G10" s="607"/>
      <c r="H10" s="607"/>
      <c r="I10" s="608"/>
      <c r="J10" s="609" t="s">
        <v>386</v>
      </c>
      <c r="K10" s="610"/>
      <c r="L10" s="611"/>
      <c r="M10" s="609" t="s">
        <v>338</v>
      </c>
      <c r="N10" s="610"/>
      <c r="O10" s="611"/>
    </row>
    <row r="11" spans="1:15" ht="68.25" customHeight="1">
      <c r="B11" s="435"/>
      <c r="C11" s="436"/>
      <c r="D11" s="437"/>
      <c r="E11" s="673" t="s">
        <v>1</v>
      </c>
      <c r="F11" s="674"/>
      <c r="G11" s="674"/>
      <c r="H11" s="674"/>
      <c r="I11" s="675"/>
      <c r="J11" s="414"/>
      <c r="K11" s="415"/>
      <c r="L11" s="416"/>
      <c r="M11" s="414"/>
      <c r="N11" s="415"/>
      <c r="O11" s="416"/>
    </row>
    <row r="12" spans="1:15" ht="236.25" customHeight="1">
      <c r="B12" s="646" t="str">
        <f>+'Data Entry'!B62</f>
        <v>F4: Latest PR reporting and disbursement cycle</v>
      </c>
      <c r="C12" s="607"/>
      <c r="D12" s="608"/>
      <c r="E12" s="606" t="s">
        <v>4</v>
      </c>
      <c r="F12" s="607"/>
      <c r="G12" s="607"/>
      <c r="H12" s="607"/>
      <c r="I12" s="608"/>
      <c r="J12" s="609" t="s">
        <v>387</v>
      </c>
      <c r="K12" s="610"/>
      <c r="L12" s="611"/>
      <c r="M12" s="609" t="s">
        <v>283</v>
      </c>
      <c r="N12" s="610"/>
      <c r="O12" s="611"/>
    </row>
    <row r="13" spans="1:15" s="19" customFormat="1" ht="114" customHeight="1">
      <c r="B13" s="667"/>
      <c r="C13" s="667"/>
      <c r="D13" s="667"/>
      <c r="E13" s="671" t="s">
        <v>0</v>
      </c>
      <c r="F13" s="672"/>
      <c r="G13" s="672"/>
      <c r="H13" s="672"/>
      <c r="I13" s="672"/>
      <c r="J13" s="670"/>
      <c r="K13" s="670"/>
      <c r="L13" s="670"/>
      <c r="M13" s="670"/>
      <c r="N13" s="670"/>
      <c r="O13" s="670"/>
    </row>
    <row r="14" spans="1:15" s="19" customFormat="1">
      <c r="B14" s="636"/>
      <c r="C14" s="636"/>
      <c r="D14" s="636"/>
      <c r="E14" s="669"/>
      <c r="F14" s="669"/>
      <c r="G14" s="669"/>
      <c r="H14" s="669"/>
      <c r="I14" s="669"/>
      <c r="J14" s="669"/>
      <c r="K14" s="669"/>
      <c r="L14" s="669"/>
      <c r="M14" s="669"/>
      <c r="N14" s="669"/>
      <c r="O14" s="669"/>
    </row>
    <row r="15" spans="1:15" s="19" customFormat="1">
      <c r="B15" s="636"/>
      <c r="C15" s="636"/>
      <c r="D15" s="636"/>
      <c r="E15" s="668"/>
      <c r="F15" s="668"/>
      <c r="G15" s="668"/>
      <c r="H15" s="668"/>
      <c r="I15" s="668"/>
      <c r="J15" s="669"/>
      <c r="K15" s="669"/>
      <c r="L15" s="669"/>
      <c r="M15" s="669"/>
      <c r="N15" s="669"/>
      <c r="O15" s="669"/>
    </row>
    <row r="16" spans="1:15" s="19" customFormat="1">
      <c r="B16" s="636"/>
      <c r="C16" s="636"/>
      <c r="D16" s="636"/>
      <c r="E16" s="668"/>
      <c r="F16" s="668"/>
      <c r="G16" s="668"/>
      <c r="H16" s="668"/>
      <c r="I16" s="668"/>
      <c r="J16" s="669"/>
      <c r="K16" s="669"/>
      <c r="L16" s="669"/>
      <c r="M16" s="669"/>
      <c r="N16" s="669"/>
      <c r="O16" s="669"/>
    </row>
    <row r="17" spans="2:15">
      <c r="B17" s="571" t="s">
        <v>289</v>
      </c>
      <c r="C17" s="571"/>
      <c r="D17" s="571"/>
      <c r="E17" s="571"/>
      <c r="F17" s="571"/>
      <c r="G17" s="571"/>
      <c r="H17" s="571"/>
      <c r="I17" s="571"/>
      <c r="J17" s="571"/>
      <c r="K17" s="571"/>
      <c r="L17" s="571"/>
      <c r="M17" s="571"/>
      <c r="N17" s="571"/>
      <c r="O17" s="571"/>
    </row>
    <row r="18" spans="2:15">
      <c r="B18" s="412"/>
      <c r="C18" s="412"/>
      <c r="D18" s="412"/>
      <c r="E18" s="412"/>
      <c r="F18" s="412"/>
      <c r="G18" s="412"/>
      <c r="H18" s="412"/>
      <c r="I18" s="412"/>
      <c r="J18" s="412"/>
      <c r="K18" s="412"/>
      <c r="L18" s="412"/>
      <c r="M18" s="412"/>
      <c r="N18" s="413"/>
      <c r="O18" s="413"/>
    </row>
    <row r="19" spans="2:15">
      <c r="B19" s="621" t="s">
        <v>5</v>
      </c>
      <c r="C19" s="622"/>
      <c r="D19" s="623"/>
      <c r="E19" s="621" t="s">
        <v>279</v>
      </c>
      <c r="F19" s="622"/>
      <c r="G19" s="622"/>
      <c r="H19" s="622"/>
      <c r="I19" s="623"/>
      <c r="J19" s="621" t="s">
        <v>280</v>
      </c>
      <c r="K19" s="622"/>
      <c r="L19" s="623"/>
      <c r="M19" s="621" t="s">
        <v>281</v>
      </c>
      <c r="N19" s="622"/>
      <c r="O19" s="623"/>
    </row>
    <row r="20" spans="2:15" ht="114" customHeight="1">
      <c r="B20" s="637" t="str">
        <f>+'Data Entry'!B73</f>
        <v>M1: Status of Conditions Precedent (CPs) and Time Bound Actions (TBAs)</v>
      </c>
      <c r="C20" s="604"/>
      <c r="D20" s="605"/>
      <c r="E20" s="603" t="s">
        <v>388</v>
      </c>
      <c r="F20" s="604"/>
      <c r="G20" s="604"/>
      <c r="H20" s="604"/>
      <c r="I20" s="605"/>
      <c r="J20" s="612" t="s">
        <v>340</v>
      </c>
      <c r="K20" s="613"/>
      <c r="L20" s="614"/>
      <c r="M20" s="612" t="s">
        <v>341</v>
      </c>
      <c r="N20" s="613"/>
      <c r="O20" s="614"/>
    </row>
    <row r="21" spans="2:15" ht="102.75" customHeight="1">
      <c r="B21" s="637" t="str">
        <f>+'Data Entry'!B80</f>
        <v>M2: Status of key PR management positions</v>
      </c>
      <c r="C21" s="604"/>
      <c r="D21" s="605"/>
      <c r="E21" s="603" t="s">
        <v>389</v>
      </c>
      <c r="F21" s="604"/>
      <c r="G21" s="604"/>
      <c r="H21" s="604"/>
      <c r="I21" s="605"/>
      <c r="J21" s="612" t="s">
        <v>285</v>
      </c>
      <c r="K21" s="613"/>
      <c r="L21" s="614"/>
      <c r="M21" s="612" t="s">
        <v>284</v>
      </c>
      <c r="N21" s="613"/>
      <c r="O21" s="614"/>
    </row>
    <row r="22" spans="2:15" ht="192.75" customHeight="1">
      <c r="B22" s="637" t="str">
        <f>+'Data Entry'!B85</f>
        <v xml:space="preserve">M3: Contractual arrangements (SRs) </v>
      </c>
      <c r="C22" s="604"/>
      <c r="D22" s="605"/>
      <c r="E22" s="612" t="s">
        <v>390</v>
      </c>
      <c r="F22" s="604"/>
      <c r="G22" s="604"/>
      <c r="H22" s="604"/>
      <c r="I22" s="605"/>
      <c r="J22" s="612" t="s">
        <v>342</v>
      </c>
      <c r="K22" s="613"/>
      <c r="L22" s="614"/>
      <c r="M22" s="612" t="s">
        <v>343</v>
      </c>
      <c r="N22" s="613"/>
      <c r="O22" s="614"/>
    </row>
    <row r="23" spans="2:15" ht="78" customHeight="1">
      <c r="B23" s="637" t="str">
        <f>+'Data Entry'!B90</f>
        <v>M4: Number of complete reports received on time, this reporting period</v>
      </c>
      <c r="C23" s="604"/>
      <c r="D23" s="605"/>
      <c r="E23" s="612" t="s">
        <v>383</v>
      </c>
      <c r="F23" s="613"/>
      <c r="G23" s="613"/>
      <c r="H23" s="613"/>
      <c r="I23" s="614"/>
      <c r="J23" s="612" t="s">
        <v>391</v>
      </c>
      <c r="K23" s="613"/>
      <c r="L23" s="614"/>
      <c r="M23" s="612" t="s">
        <v>286</v>
      </c>
      <c r="N23" s="613"/>
      <c r="O23" s="614"/>
    </row>
    <row r="24" spans="2:15" ht="214.5" customHeight="1">
      <c r="B24" s="646" t="str">
        <f>+'Data Entry'!B96</f>
        <v>M5: Budget and Procurement of health products, health equipment, medicines and pharmaceuticals</v>
      </c>
      <c r="C24" s="607"/>
      <c r="D24" s="608"/>
      <c r="E24" s="647" t="s">
        <v>392</v>
      </c>
      <c r="F24" s="648"/>
      <c r="G24" s="648"/>
      <c r="H24" s="648"/>
      <c r="I24" s="649"/>
      <c r="J24" s="609" t="s">
        <v>282</v>
      </c>
      <c r="K24" s="610"/>
      <c r="L24" s="611"/>
      <c r="M24" s="609" t="s">
        <v>287</v>
      </c>
      <c r="N24" s="610"/>
      <c r="O24" s="611"/>
    </row>
    <row r="25" spans="2:15" ht="91.5" customHeight="1">
      <c r="B25" s="624"/>
      <c r="C25" s="625"/>
      <c r="D25" s="626"/>
      <c r="E25" s="624" t="s">
        <v>393</v>
      </c>
      <c r="F25" s="625"/>
      <c r="G25" s="625"/>
      <c r="H25" s="625"/>
      <c r="I25" s="626"/>
      <c r="J25" s="615"/>
      <c r="K25" s="616"/>
      <c r="L25" s="617"/>
      <c r="M25" s="615"/>
      <c r="N25" s="616"/>
      <c r="O25" s="617"/>
    </row>
    <row r="26" spans="2:15" ht="409.5" customHeight="1">
      <c r="B26" s="637" t="str">
        <f>+'Data Entry'!B109</f>
        <v>M6: Difference between current and safety stock</v>
      </c>
      <c r="C26" s="604"/>
      <c r="D26" s="605"/>
      <c r="E26" s="650" t="s">
        <v>394</v>
      </c>
      <c r="F26" s="651"/>
      <c r="G26" s="651"/>
      <c r="H26" s="651"/>
      <c r="I26" s="652"/>
      <c r="J26" s="618" t="s">
        <v>344</v>
      </c>
      <c r="K26" s="619"/>
      <c r="L26" s="620"/>
      <c r="M26" s="618" t="s">
        <v>349</v>
      </c>
      <c r="N26" s="656"/>
      <c r="O26" s="657"/>
    </row>
    <row r="27" spans="2:15">
      <c r="B27" s="417"/>
      <c r="C27" s="417"/>
      <c r="D27" s="417"/>
      <c r="E27" s="417"/>
      <c r="F27" s="417"/>
      <c r="G27" s="417"/>
      <c r="H27" s="417"/>
      <c r="I27" s="417"/>
      <c r="J27" s="417"/>
      <c r="K27" s="417"/>
      <c r="L27" s="417"/>
      <c r="M27" s="417"/>
      <c r="N27" s="418"/>
      <c r="O27" s="418"/>
    </row>
    <row r="28" spans="2:15">
      <c r="B28" s="417"/>
      <c r="C28" s="417"/>
      <c r="D28" s="417"/>
      <c r="E28" s="417"/>
      <c r="F28" s="417"/>
      <c r="G28" s="417"/>
      <c r="H28" s="417"/>
      <c r="I28" s="417"/>
      <c r="J28" s="417"/>
      <c r="K28" s="417"/>
      <c r="L28" s="417"/>
      <c r="M28" s="417"/>
      <c r="N28" s="418"/>
      <c r="O28" s="418"/>
    </row>
    <row r="29" spans="2:15">
      <c r="B29" s="417"/>
      <c r="C29" s="417"/>
      <c r="D29" s="417"/>
      <c r="E29" s="417"/>
      <c r="F29" s="417"/>
      <c r="G29" s="417"/>
      <c r="H29" s="417"/>
      <c r="I29" s="417"/>
      <c r="J29" s="417"/>
      <c r="K29" s="417"/>
      <c r="L29" s="417"/>
      <c r="M29" s="417"/>
      <c r="N29" s="418"/>
      <c r="O29" s="418"/>
    </row>
    <row r="30" spans="2:15">
      <c r="B30" s="419"/>
      <c r="C30" s="417"/>
      <c r="D30" s="417"/>
      <c r="E30" s="417"/>
      <c r="F30" s="417"/>
      <c r="G30" s="417"/>
      <c r="H30" s="417"/>
      <c r="I30" s="417"/>
      <c r="J30" s="417"/>
      <c r="K30" s="417"/>
      <c r="L30" s="417"/>
      <c r="M30" s="417"/>
      <c r="N30" s="418"/>
      <c r="O30" s="418"/>
    </row>
    <row r="31" spans="2:15">
      <c r="B31" s="571" t="s">
        <v>300</v>
      </c>
      <c r="C31" s="571"/>
      <c r="D31" s="571"/>
      <c r="E31" s="571"/>
      <c r="F31" s="571"/>
      <c r="G31" s="571"/>
      <c r="H31" s="571"/>
      <c r="I31" s="571"/>
      <c r="J31" s="571"/>
      <c r="K31" s="571"/>
      <c r="L31" s="571"/>
      <c r="M31" s="571"/>
      <c r="N31" s="571"/>
      <c r="O31" s="571"/>
    </row>
    <row r="32" spans="2:15">
      <c r="B32" s="417"/>
      <c r="C32" s="417"/>
      <c r="D32" s="417"/>
      <c r="E32" s="417"/>
      <c r="F32" s="417"/>
      <c r="G32" s="417"/>
      <c r="H32" s="417"/>
      <c r="I32" s="417"/>
      <c r="J32" s="417"/>
      <c r="K32" s="417"/>
      <c r="L32" s="417"/>
      <c r="M32" s="417"/>
      <c r="N32" s="418"/>
      <c r="O32" s="418"/>
    </row>
    <row r="33" spans="1:15" ht="28.5" customHeight="1">
      <c r="A33" s="242"/>
      <c r="B33" s="572" t="s">
        <v>334</v>
      </c>
      <c r="C33" s="573"/>
      <c r="D33" s="574"/>
      <c r="E33" s="575" t="s">
        <v>452</v>
      </c>
      <c r="F33" s="573"/>
      <c r="G33" s="573"/>
      <c r="H33" s="573"/>
      <c r="I33" s="574"/>
      <c r="J33" s="576" t="s">
        <v>280</v>
      </c>
      <c r="K33" s="573"/>
      <c r="L33" s="574"/>
      <c r="M33" s="576" t="s">
        <v>281</v>
      </c>
      <c r="N33" s="573"/>
      <c r="O33" s="574"/>
    </row>
    <row r="34" spans="1:15" ht="117" customHeight="1">
      <c r="A34" s="243"/>
      <c r="B34" s="653" t="s">
        <v>497</v>
      </c>
      <c r="C34" s="654"/>
      <c r="D34" s="655"/>
      <c r="E34" s="630" t="s">
        <v>498</v>
      </c>
      <c r="F34" s="631"/>
      <c r="G34" s="631"/>
      <c r="H34" s="631"/>
      <c r="I34" s="632"/>
      <c r="J34" s="630" t="s">
        <v>499</v>
      </c>
      <c r="K34" s="631"/>
      <c r="L34" s="632"/>
      <c r="M34" s="640" t="s">
        <v>495</v>
      </c>
      <c r="N34" s="641"/>
      <c r="O34" s="642"/>
    </row>
    <row r="35" spans="1:15" ht="81.75" customHeight="1">
      <c r="A35" s="243"/>
      <c r="B35" s="600" t="s">
        <v>496</v>
      </c>
      <c r="C35" s="601"/>
      <c r="D35" s="602"/>
      <c r="E35" s="627" t="s">
        <v>451</v>
      </c>
      <c r="F35" s="628"/>
      <c r="G35" s="628"/>
      <c r="H35" s="628"/>
      <c r="I35" s="629"/>
      <c r="J35" s="643" t="s">
        <v>501</v>
      </c>
      <c r="K35" s="644"/>
      <c r="L35" s="645"/>
      <c r="M35" s="643" t="s">
        <v>450</v>
      </c>
      <c r="N35" s="644"/>
      <c r="O35" s="645"/>
    </row>
    <row r="36" spans="1:15" ht="66" customHeight="1">
      <c r="A36" s="243"/>
      <c r="B36" s="597"/>
      <c r="C36" s="598"/>
      <c r="D36" s="599"/>
      <c r="E36" s="589"/>
      <c r="F36" s="590"/>
      <c r="G36" s="590"/>
      <c r="H36" s="590"/>
      <c r="I36" s="591"/>
      <c r="J36" s="589"/>
      <c r="K36" s="590"/>
      <c r="L36" s="591"/>
      <c r="M36" s="589"/>
      <c r="N36" s="590"/>
      <c r="O36" s="591"/>
    </row>
    <row r="37" spans="1:15" ht="9.75" customHeight="1">
      <c r="A37" s="243"/>
      <c r="B37" s="592"/>
      <c r="C37" s="593"/>
      <c r="D37" s="594"/>
      <c r="E37" s="423"/>
      <c r="F37" s="424"/>
      <c r="G37" s="424"/>
      <c r="H37" s="424"/>
      <c r="I37" s="425"/>
      <c r="J37" s="426"/>
      <c r="K37" s="427"/>
      <c r="L37" s="428"/>
      <c r="M37" s="426"/>
      <c r="N37" s="427"/>
      <c r="O37" s="428"/>
    </row>
    <row r="38" spans="1:15" ht="69" customHeight="1">
      <c r="A38" s="243"/>
      <c r="B38" s="597"/>
      <c r="C38" s="598"/>
      <c r="D38" s="599"/>
      <c r="E38" s="589"/>
      <c r="F38" s="595"/>
      <c r="G38" s="595"/>
      <c r="H38" s="595"/>
      <c r="I38" s="596"/>
      <c r="J38" s="589"/>
      <c r="K38" s="590"/>
      <c r="L38" s="591"/>
      <c r="M38" s="589"/>
      <c r="N38" s="590"/>
      <c r="O38" s="591"/>
    </row>
    <row r="39" spans="1:15" ht="102" customHeight="1">
      <c r="A39" s="243"/>
      <c r="B39" s="597"/>
      <c r="C39" s="598"/>
      <c r="D39" s="599"/>
      <c r="E39" s="586"/>
      <c r="F39" s="587"/>
      <c r="G39" s="587"/>
      <c r="H39" s="587"/>
      <c r="I39" s="588"/>
      <c r="J39" s="589"/>
      <c r="K39" s="590"/>
      <c r="L39" s="591"/>
      <c r="M39" s="589"/>
      <c r="N39" s="590"/>
      <c r="O39" s="591"/>
    </row>
    <row r="40" spans="1:15" ht="64.5" customHeight="1">
      <c r="A40" s="243"/>
      <c r="B40" s="597"/>
      <c r="C40" s="598"/>
      <c r="D40" s="599"/>
      <c r="E40" s="589"/>
      <c r="F40" s="590"/>
      <c r="G40" s="590"/>
      <c r="H40" s="590"/>
      <c r="I40" s="591"/>
      <c r="J40" s="589"/>
      <c r="K40" s="590"/>
      <c r="L40" s="591"/>
      <c r="M40" s="589"/>
      <c r="N40" s="590"/>
      <c r="O40" s="591"/>
    </row>
    <row r="41" spans="1:15" ht="45" customHeight="1">
      <c r="A41" s="243"/>
      <c r="B41" s="583"/>
      <c r="C41" s="584"/>
      <c r="D41" s="585"/>
      <c r="E41" s="633"/>
      <c r="F41" s="634"/>
      <c r="G41" s="634"/>
      <c r="H41" s="634"/>
      <c r="I41" s="635"/>
      <c r="J41" s="589"/>
      <c r="K41" s="590"/>
      <c r="L41" s="591"/>
      <c r="M41" s="589"/>
      <c r="N41" s="590"/>
      <c r="O41" s="591"/>
    </row>
    <row r="42" spans="1:15" ht="62.25" customHeight="1">
      <c r="A42" s="243"/>
      <c r="B42" s="583"/>
      <c r="C42" s="584"/>
      <c r="D42" s="585"/>
      <c r="E42" s="586"/>
      <c r="F42" s="587"/>
      <c r="G42" s="587"/>
      <c r="H42" s="587"/>
      <c r="I42" s="588"/>
      <c r="J42" s="589"/>
      <c r="K42" s="590"/>
      <c r="L42" s="591"/>
      <c r="M42" s="589"/>
      <c r="N42" s="590"/>
      <c r="O42" s="591"/>
    </row>
    <row r="43" spans="1:15" ht="84" customHeight="1">
      <c r="A43" s="243"/>
      <c r="B43" s="583"/>
      <c r="C43" s="584"/>
      <c r="D43" s="585"/>
      <c r="E43" s="589"/>
      <c r="F43" s="590"/>
      <c r="G43" s="590"/>
      <c r="H43" s="590"/>
      <c r="I43" s="591"/>
      <c r="J43" s="420"/>
      <c r="K43" s="421"/>
      <c r="L43" s="422"/>
      <c r="M43" s="420"/>
      <c r="N43" s="421"/>
      <c r="O43" s="422"/>
    </row>
    <row r="44" spans="1:15" ht="45" customHeight="1">
      <c r="A44" s="243"/>
      <c r="B44" s="583"/>
      <c r="C44" s="584"/>
      <c r="D44" s="585"/>
      <c r="E44" s="586"/>
      <c r="F44" s="587"/>
      <c r="G44" s="587"/>
      <c r="H44" s="587"/>
      <c r="I44" s="588"/>
      <c r="J44" s="589"/>
      <c r="K44" s="590"/>
      <c r="L44" s="591"/>
      <c r="M44" s="420"/>
      <c r="N44" s="421"/>
      <c r="O44" s="422"/>
    </row>
    <row r="45" spans="1:15" ht="19.5" customHeight="1">
      <c r="B45" s="580" t="s">
        <v>301</v>
      </c>
      <c r="C45" s="581"/>
      <c r="D45" s="582"/>
      <c r="E45" s="580" t="s">
        <v>279</v>
      </c>
      <c r="F45" s="581"/>
      <c r="G45" s="581"/>
      <c r="H45" s="581"/>
      <c r="I45" s="582"/>
      <c r="J45" s="580" t="s">
        <v>280</v>
      </c>
      <c r="K45" s="581"/>
      <c r="L45" s="582"/>
      <c r="M45" s="580" t="s">
        <v>281</v>
      </c>
      <c r="N45" s="581"/>
      <c r="O45" s="582"/>
    </row>
    <row r="46" spans="1:15" ht="33.75" customHeight="1">
      <c r="B46" s="429"/>
      <c r="C46" s="430"/>
      <c r="D46" s="430"/>
      <c r="E46" s="431"/>
      <c r="F46" s="432"/>
      <c r="G46" s="432"/>
      <c r="H46" s="432"/>
      <c r="I46" s="432"/>
      <c r="J46" s="431"/>
      <c r="K46" s="431"/>
      <c r="L46" s="433"/>
      <c r="M46" s="434"/>
      <c r="N46" s="431"/>
      <c r="O46" s="433"/>
    </row>
    <row r="47" spans="1:15" ht="29.25" customHeight="1">
      <c r="B47" s="577" t="s">
        <v>412</v>
      </c>
      <c r="C47" s="578"/>
      <c r="D47" s="578"/>
      <c r="E47" s="578"/>
      <c r="F47" s="578"/>
      <c r="G47" s="578"/>
      <c r="H47" s="578"/>
      <c r="I47" s="578"/>
      <c r="J47" s="578"/>
      <c r="K47" s="578"/>
      <c r="L47" s="579"/>
      <c r="M47" s="568" t="s">
        <v>290</v>
      </c>
      <c r="N47" s="569"/>
      <c r="O47" s="570"/>
    </row>
    <row r="48" spans="1:15">
      <c r="D48" s="223"/>
    </row>
    <row r="50" spans="4:4">
      <c r="D50" s="223"/>
    </row>
    <row r="51" spans="4:4">
      <c r="D51" s="223"/>
    </row>
  </sheetData>
  <mergeCells count="118">
    <mergeCell ref="B10:D10"/>
    <mergeCell ref="E12:I12"/>
    <mergeCell ref="B13:D13"/>
    <mergeCell ref="E16:I16"/>
    <mergeCell ref="J12:L12"/>
    <mergeCell ref="E20:I20"/>
    <mergeCell ref="B14:D14"/>
    <mergeCell ref="B17:O17"/>
    <mergeCell ref="J16:L16"/>
    <mergeCell ref="E14:I14"/>
    <mergeCell ref="J14:L14"/>
    <mergeCell ref="B15:D15"/>
    <mergeCell ref="E15:I15"/>
    <mergeCell ref="M14:O14"/>
    <mergeCell ref="M15:O15"/>
    <mergeCell ref="M16:O16"/>
    <mergeCell ref="M20:O20"/>
    <mergeCell ref="J13:L13"/>
    <mergeCell ref="M13:O13"/>
    <mergeCell ref="E13:I13"/>
    <mergeCell ref="J15:L15"/>
    <mergeCell ref="M12:O12"/>
    <mergeCell ref="E11:I11"/>
    <mergeCell ref="B19:D19"/>
    <mergeCell ref="B2:M2"/>
    <mergeCell ref="B5:O5"/>
    <mergeCell ref="M8:O8"/>
    <mergeCell ref="J8:L8"/>
    <mergeCell ref="E7:I7"/>
    <mergeCell ref="B7:D7"/>
    <mergeCell ref="E8:I8"/>
    <mergeCell ref="J7:L7"/>
    <mergeCell ref="M7:O7"/>
    <mergeCell ref="B8:D8"/>
    <mergeCell ref="B16:D16"/>
    <mergeCell ref="J19:L19"/>
    <mergeCell ref="B9:D9"/>
    <mergeCell ref="B20:D20"/>
    <mergeCell ref="M36:O36"/>
    <mergeCell ref="M34:O34"/>
    <mergeCell ref="M35:O35"/>
    <mergeCell ref="B26:D26"/>
    <mergeCell ref="B23:D23"/>
    <mergeCell ref="B24:D25"/>
    <mergeCell ref="E24:I24"/>
    <mergeCell ref="E23:I23"/>
    <mergeCell ref="B21:D21"/>
    <mergeCell ref="E21:I21"/>
    <mergeCell ref="B22:D22"/>
    <mergeCell ref="E22:I22"/>
    <mergeCell ref="E26:I26"/>
    <mergeCell ref="J22:L22"/>
    <mergeCell ref="J21:L21"/>
    <mergeCell ref="J35:L35"/>
    <mergeCell ref="B34:D34"/>
    <mergeCell ref="E34:I34"/>
    <mergeCell ref="B12:D12"/>
    <mergeCell ref="M26:O26"/>
    <mergeCell ref="J26:L26"/>
    <mergeCell ref="J39:L39"/>
    <mergeCell ref="E19:I19"/>
    <mergeCell ref="M38:O38"/>
    <mergeCell ref="J38:L38"/>
    <mergeCell ref="M40:O40"/>
    <mergeCell ref="J41:L41"/>
    <mergeCell ref="M21:O21"/>
    <mergeCell ref="E25:I25"/>
    <mergeCell ref="M19:O19"/>
    <mergeCell ref="E35:I35"/>
    <mergeCell ref="J34:L34"/>
    <mergeCell ref="E40:I40"/>
    <mergeCell ref="E41:I41"/>
    <mergeCell ref="E9:I9"/>
    <mergeCell ref="E10:I10"/>
    <mergeCell ref="J10:L10"/>
    <mergeCell ref="M10:O10"/>
    <mergeCell ref="J20:L20"/>
    <mergeCell ref="M9:O9"/>
    <mergeCell ref="J9:L9"/>
    <mergeCell ref="M22:O22"/>
    <mergeCell ref="J24:L25"/>
    <mergeCell ref="J23:L23"/>
    <mergeCell ref="M23:O23"/>
    <mergeCell ref="M24:O25"/>
    <mergeCell ref="B38:D38"/>
    <mergeCell ref="B39:D39"/>
    <mergeCell ref="E39:I39"/>
    <mergeCell ref="M45:O45"/>
    <mergeCell ref="J42:L42"/>
    <mergeCell ref="M42:O42"/>
    <mergeCell ref="J45:L45"/>
    <mergeCell ref="J40:L40"/>
    <mergeCell ref="M41:O41"/>
    <mergeCell ref="M39:O39"/>
    <mergeCell ref="M47:O47"/>
    <mergeCell ref="B31:O31"/>
    <mergeCell ref="B33:D33"/>
    <mergeCell ref="E33:I33"/>
    <mergeCell ref="J33:L33"/>
    <mergeCell ref="M33:O33"/>
    <mergeCell ref="B47:L47"/>
    <mergeCell ref="B45:D45"/>
    <mergeCell ref="E45:I45"/>
    <mergeCell ref="B42:D42"/>
    <mergeCell ref="E42:I42"/>
    <mergeCell ref="J44:L44"/>
    <mergeCell ref="B44:D44"/>
    <mergeCell ref="E43:I43"/>
    <mergeCell ref="E44:I44"/>
    <mergeCell ref="B43:D43"/>
    <mergeCell ref="B41:D41"/>
    <mergeCell ref="B37:D37"/>
    <mergeCell ref="E38:I38"/>
    <mergeCell ref="E36:I36"/>
    <mergeCell ref="B36:D36"/>
    <mergeCell ref="J36:L36"/>
    <mergeCell ref="B35:D35"/>
    <mergeCell ref="B40:D40"/>
  </mergeCells>
  <phoneticPr fontId="31" type="noConversion"/>
  <pageMargins left="0.70866141732283472" right="0.62" top="0.74803149606299213" bottom="0.74803149606299213" header="0.31496062992125984" footer="0.31496062992125984"/>
  <pageSetup paperSize="9" orientation="landscape" r:id="rId1"/>
  <headerFooter alignWithMargins="0">
    <oddFooter>&amp;L&amp;F&amp;C&amp;A&amp;RV1.0          &amp;D</oddFooter>
  </headerFooter>
  <rowBreaks count="2" manualBreakCount="2">
    <brk id="16" max="16383" man="1"/>
    <brk id="2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6"/>
  <sheetViews>
    <sheetView showGridLines="0" tabSelected="1" topLeftCell="A72" zoomScale="80" zoomScaleNormal="80" zoomScalePageLayoutView="80" workbookViewId="0">
      <selection activeCell="K50" sqref="K50"/>
    </sheetView>
  </sheetViews>
  <sheetFormatPr defaultColWidth="11" defaultRowHeight="15"/>
  <cols>
    <col min="1" max="1" width="2.7109375" customWidth="1"/>
    <col min="2" max="2" width="50"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23.8554687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41" t="s">
        <v>395</v>
      </c>
      <c r="F1" s="464">
        <v>42412</v>
      </c>
      <c r="G1" s="3"/>
      <c r="H1" s="3"/>
      <c r="I1" s="3"/>
      <c r="J1" s="3"/>
      <c r="K1" s="3"/>
      <c r="L1" s="3"/>
      <c r="M1" s="3"/>
    </row>
    <row r="2" spans="1:13" ht="15.75" customHeight="1">
      <c r="A2" s="3"/>
      <c r="B2" s="701" t="s">
        <v>356</v>
      </c>
      <c r="C2" s="701"/>
      <c r="D2" s="701"/>
      <c r="E2" s="701"/>
      <c r="F2" s="701"/>
      <c r="G2" s="701"/>
      <c r="H2" s="701"/>
      <c r="I2" s="701"/>
      <c r="J2" s="701"/>
      <c r="K2" s="265"/>
      <c r="L2" s="265"/>
      <c r="M2" s="265"/>
    </row>
    <row r="3" spans="1:13" ht="4.5" customHeight="1">
      <c r="A3" s="3"/>
      <c r="B3" s="3"/>
      <c r="C3" s="3"/>
      <c r="D3" s="3"/>
      <c r="E3" s="3"/>
      <c r="F3" s="3"/>
      <c r="G3" s="3"/>
      <c r="H3" s="3"/>
      <c r="I3" s="3"/>
      <c r="J3" s="3"/>
      <c r="K3" s="3"/>
      <c r="L3" s="3"/>
      <c r="M3" s="3"/>
    </row>
    <row r="4" spans="1:13">
      <c r="A4" s="3"/>
      <c r="B4" s="263" t="s">
        <v>33</v>
      </c>
      <c r="C4" s="702" t="s">
        <v>183</v>
      </c>
      <c r="D4" s="703"/>
      <c r="E4" s="704" t="s">
        <v>19</v>
      </c>
      <c r="F4" s="704"/>
      <c r="G4" s="702" t="s">
        <v>419</v>
      </c>
      <c r="H4" s="705"/>
      <c r="I4" s="705"/>
      <c r="J4" s="703"/>
      <c r="K4" s="3"/>
      <c r="L4" s="3"/>
      <c r="M4" s="3"/>
    </row>
    <row r="5" spans="1:13" ht="21.75" customHeight="1">
      <c r="A5" s="3"/>
      <c r="B5" s="263"/>
      <c r="C5" s="3"/>
      <c r="D5" s="3"/>
      <c r="E5" s="266"/>
      <c r="F5" s="266"/>
      <c r="G5" s="3"/>
      <c r="H5" s="3"/>
      <c r="I5" s="3"/>
      <c r="J5" s="3"/>
      <c r="K5" s="3"/>
      <c r="L5" s="3"/>
      <c r="M5" s="3"/>
    </row>
    <row r="6" spans="1:13">
      <c r="A6" s="3"/>
      <c r="B6" s="263" t="s">
        <v>122</v>
      </c>
      <c r="C6" s="702" t="s">
        <v>475</v>
      </c>
      <c r="D6" s="703"/>
      <c r="E6" s="704" t="s">
        <v>34</v>
      </c>
      <c r="F6" s="704"/>
      <c r="G6" s="448" t="s">
        <v>41</v>
      </c>
      <c r="H6" s="523" t="s">
        <v>476</v>
      </c>
      <c r="I6" s="708">
        <v>13325139.303646</v>
      </c>
      <c r="J6" s="709"/>
      <c r="K6" s="3"/>
      <c r="L6" s="3"/>
      <c r="M6" s="3"/>
    </row>
    <row r="7" spans="1:13" ht="3" customHeight="1">
      <c r="A7" s="3"/>
      <c r="B7" s="263"/>
      <c r="C7" s="3"/>
      <c r="D7" s="3"/>
      <c r="E7" s="266"/>
      <c r="F7" s="266"/>
      <c r="G7" s="449"/>
      <c r="H7" s="263"/>
      <c r="I7" s="3"/>
      <c r="J7" s="3"/>
      <c r="K7" s="3"/>
      <c r="L7" s="3"/>
      <c r="M7" s="3"/>
    </row>
    <row r="8" spans="1:13">
      <c r="A8" s="3"/>
      <c r="B8" s="263" t="s">
        <v>274</v>
      </c>
      <c r="C8" s="702" t="s">
        <v>472</v>
      </c>
      <c r="D8" s="703"/>
      <c r="E8" s="267"/>
      <c r="F8" s="262" t="s">
        <v>320</v>
      </c>
      <c r="G8" s="450" t="s">
        <v>478</v>
      </c>
      <c r="H8" s="262" t="s">
        <v>319</v>
      </c>
      <c r="I8" s="715" t="s">
        <v>477</v>
      </c>
      <c r="J8" s="717"/>
      <c r="K8" s="3"/>
      <c r="L8" s="3"/>
      <c r="M8" s="3"/>
    </row>
    <row r="9" spans="1:13" ht="3" customHeight="1">
      <c r="A9" s="3"/>
      <c r="B9" s="266"/>
      <c r="C9" s="3"/>
      <c r="D9" s="3"/>
      <c r="E9" s="266"/>
      <c r="F9" s="266"/>
      <c r="G9" s="3"/>
      <c r="H9" s="3"/>
      <c r="I9" s="3"/>
      <c r="J9" s="3"/>
      <c r="K9" s="3"/>
      <c r="L9" s="3"/>
      <c r="M9" s="3"/>
    </row>
    <row r="10" spans="1:13">
      <c r="A10" s="3"/>
      <c r="B10" s="263" t="s">
        <v>379</v>
      </c>
      <c r="C10" s="719">
        <v>42064</v>
      </c>
      <c r="D10" s="720"/>
      <c r="E10" s="718" t="s">
        <v>38</v>
      </c>
      <c r="F10" s="711"/>
      <c r="G10" s="715" t="s">
        <v>64</v>
      </c>
      <c r="H10" s="716"/>
      <c r="I10" s="716"/>
      <c r="J10" s="717"/>
      <c r="K10" s="3"/>
      <c r="L10" s="3"/>
      <c r="M10" s="3"/>
    </row>
    <row r="11" spans="1:13" ht="5.25" customHeight="1">
      <c r="A11" s="3"/>
      <c r="B11" s="3"/>
      <c r="C11" s="3"/>
      <c r="D11" s="3"/>
      <c r="E11" s="3"/>
      <c r="F11" s="3"/>
      <c r="G11" s="3"/>
      <c r="H11" s="3"/>
      <c r="I11" s="3"/>
      <c r="J11" s="3"/>
      <c r="K11" s="3"/>
      <c r="L11" s="3"/>
      <c r="M11" s="3"/>
    </row>
    <row r="12" spans="1:13" ht="15" customHeight="1">
      <c r="A12" s="3"/>
      <c r="B12" s="263" t="s">
        <v>36</v>
      </c>
      <c r="C12" s="724" t="s">
        <v>52</v>
      </c>
      <c r="D12" s="724"/>
      <c r="E12" s="718" t="s">
        <v>294</v>
      </c>
      <c r="F12" s="704"/>
      <c r="G12" s="721" t="s">
        <v>474</v>
      </c>
      <c r="H12" s="722"/>
      <c r="I12" s="722"/>
      <c r="J12" s="723"/>
      <c r="K12" s="3"/>
      <c r="L12" s="3"/>
      <c r="M12" s="3"/>
    </row>
    <row r="13" spans="1:13" ht="5.25" customHeight="1">
      <c r="A13" s="3"/>
      <c r="B13" s="3"/>
      <c r="C13" s="3"/>
      <c r="D13" s="3"/>
      <c r="E13" s="3"/>
      <c r="F13" s="3"/>
      <c r="G13" s="3"/>
      <c r="H13" s="3"/>
      <c r="I13" s="3"/>
      <c r="J13" s="3"/>
      <c r="K13" s="3"/>
      <c r="L13" s="3"/>
      <c r="M13" s="3"/>
    </row>
    <row r="14" spans="1:13" ht="15.75" customHeight="1">
      <c r="A14" s="3"/>
      <c r="B14" s="701" t="s">
        <v>7</v>
      </c>
      <c r="C14" s="701"/>
      <c r="D14" s="701"/>
      <c r="E14" s="701"/>
      <c r="F14" s="701"/>
      <c r="G14" s="701"/>
      <c r="H14" s="701"/>
      <c r="I14" s="701"/>
      <c r="J14" s="701"/>
      <c r="K14" s="3"/>
      <c r="L14" s="3"/>
      <c r="M14" s="3"/>
    </row>
    <row r="15" spans="1:13" ht="3" customHeight="1">
      <c r="A15" s="3"/>
      <c r="B15" s="3"/>
      <c r="C15" s="3"/>
      <c r="D15" s="3"/>
      <c r="E15" s="3"/>
      <c r="F15" s="3"/>
      <c r="G15" s="3"/>
      <c r="H15" s="3"/>
      <c r="I15" s="3"/>
      <c r="J15" s="3"/>
      <c r="K15" s="3"/>
      <c r="L15" s="3"/>
      <c r="M15" s="3"/>
    </row>
    <row r="16" spans="1:13">
      <c r="A16" s="3"/>
      <c r="B16" s="263" t="s">
        <v>28</v>
      </c>
      <c r="C16" s="366" t="s">
        <v>115</v>
      </c>
      <c r="D16" s="262" t="s">
        <v>321</v>
      </c>
      <c r="E16" s="451">
        <v>42278</v>
      </c>
      <c r="F16" s="264" t="s">
        <v>15</v>
      </c>
      <c r="G16" s="519">
        <v>42369</v>
      </c>
      <c r="H16" s="718" t="s">
        <v>322</v>
      </c>
      <c r="I16" s="711"/>
      <c r="J16" s="452">
        <f>F1</f>
        <v>42412</v>
      </c>
      <c r="K16" s="3"/>
      <c r="L16" s="3"/>
      <c r="M16" s="3"/>
    </row>
    <row r="17" spans="1:36" ht="3" customHeight="1">
      <c r="A17" s="3"/>
      <c r="B17" s="3"/>
      <c r="C17" s="3"/>
      <c r="D17" s="3"/>
      <c r="E17" s="3"/>
      <c r="F17" s="3"/>
      <c r="G17" s="3"/>
      <c r="H17" s="3"/>
      <c r="I17" s="3"/>
      <c r="J17" s="3"/>
      <c r="K17" s="3"/>
      <c r="L17" s="3"/>
      <c r="M17" s="3"/>
    </row>
    <row r="18" spans="1:36">
      <c r="A18" s="3"/>
      <c r="B18" s="710" t="s">
        <v>39</v>
      </c>
      <c r="C18" s="711"/>
      <c r="D18" s="715" t="s">
        <v>449</v>
      </c>
      <c r="E18" s="716"/>
      <c r="F18" s="717"/>
      <c r="G18" s="268"/>
      <c r="H18" s="268"/>
      <c r="I18" s="268"/>
      <c r="J18" s="268"/>
      <c r="K18" s="3"/>
      <c r="L18" s="3"/>
      <c r="M18" s="3"/>
    </row>
    <row r="19" spans="1:36" ht="3" customHeight="1">
      <c r="A19" s="3"/>
      <c r="B19" s="3"/>
      <c r="C19" s="3"/>
      <c r="D19" s="3"/>
      <c r="E19" s="3"/>
      <c r="F19" s="3"/>
      <c r="G19" s="3"/>
      <c r="H19" s="3"/>
      <c r="I19" s="3"/>
      <c r="J19" s="3"/>
      <c r="K19" s="3"/>
      <c r="L19" s="3"/>
      <c r="M19" s="3"/>
    </row>
    <row r="20" spans="1:36" ht="5.25" customHeight="1">
      <c r="A20" s="3"/>
      <c r="B20" s="3"/>
      <c r="C20" s="3"/>
      <c r="D20" s="3"/>
      <c r="E20" s="3"/>
      <c r="F20" s="3"/>
      <c r="G20" s="3"/>
      <c r="H20" s="3"/>
      <c r="I20" s="3"/>
      <c r="J20" s="3"/>
      <c r="K20" s="3"/>
      <c r="L20" s="3"/>
      <c r="M20" s="3"/>
    </row>
    <row r="21" spans="1:36" ht="15.75" customHeight="1">
      <c r="A21" s="3"/>
      <c r="B21" s="701" t="s">
        <v>345</v>
      </c>
      <c r="C21" s="701"/>
      <c r="D21" s="701"/>
      <c r="E21" s="701"/>
      <c r="F21" s="701"/>
      <c r="G21" s="701"/>
      <c r="H21" s="701"/>
      <c r="I21" s="701"/>
      <c r="J21" s="701"/>
      <c r="K21" s="3"/>
      <c r="L21" s="3"/>
      <c r="M21" s="3"/>
    </row>
    <row r="22" spans="1:36">
      <c r="A22" s="3"/>
      <c r="B22" s="266" t="s">
        <v>8</v>
      </c>
      <c r="C22" s="3"/>
      <c r="D22" s="3"/>
      <c r="E22" s="269"/>
      <c r="F22" s="269"/>
      <c r="G22" s="3"/>
      <c r="H22" s="3"/>
      <c r="I22" s="269"/>
      <c r="J22" s="269"/>
      <c r="K22" s="3"/>
      <c r="L22" s="3"/>
      <c r="M22" s="3"/>
    </row>
    <row r="23" spans="1:36" ht="3" customHeight="1">
      <c r="A23" s="3"/>
      <c r="B23" s="3"/>
      <c r="C23" s="3"/>
      <c r="D23" s="3"/>
      <c r="E23" s="3"/>
      <c r="F23" s="3"/>
      <c r="G23" s="3"/>
      <c r="H23" s="3"/>
      <c r="I23" s="3"/>
      <c r="J23" s="3"/>
      <c r="K23" s="3"/>
      <c r="L23" s="3"/>
      <c r="M23" s="3"/>
    </row>
    <row r="24" spans="1:36" ht="15.75" thickBot="1">
      <c r="A24" s="3"/>
      <c r="B24" s="263" t="s">
        <v>376</v>
      </c>
      <c r="C24" s="359"/>
      <c r="D24" s="704" t="s">
        <v>377</v>
      </c>
      <c r="E24" s="704"/>
      <c r="F24" s="360"/>
      <c r="G24" s="704" t="s">
        <v>378</v>
      </c>
      <c r="H24" s="704"/>
      <c r="I24" s="706"/>
      <c r="J24" s="707"/>
      <c r="K24" s="3"/>
      <c r="L24" s="3"/>
      <c r="M24" s="3"/>
      <c r="N24" s="20"/>
    </row>
    <row r="25" spans="1:36" ht="19.5" thickBot="1">
      <c r="A25" s="3"/>
      <c r="B25" s="87" t="s">
        <v>376</v>
      </c>
      <c r="C25" s="88"/>
      <c r="D25" s="88"/>
      <c r="E25" s="88"/>
      <c r="F25" s="88"/>
      <c r="G25" s="88"/>
      <c r="H25" s="252"/>
      <c r="I25" s="89"/>
      <c r="J25" s="89"/>
      <c r="K25" s="252" t="s">
        <v>323</v>
      </c>
      <c r="L25" s="88"/>
      <c r="M25" s="88"/>
      <c r="N25" s="374"/>
      <c r="O25" s="40"/>
      <c r="AI25" s="44"/>
    </row>
    <row r="26" spans="1:36">
      <c r="A26" s="3"/>
      <c r="B26" s="728" t="s">
        <v>352</v>
      </c>
      <c r="C26" s="729"/>
      <c r="D26" s="388" t="s">
        <v>26</v>
      </c>
      <c r="E26" s="91"/>
      <c r="F26" s="91"/>
      <c r="G26" s="91"/>
      <c r="H26" s="91"/>
      <c r="I26" s="91"/>
      <c r="J26" s="92"/>
      <c r="K26" s="91"/>
      <c r="L26" s="91"/>
      <c r="M26" s="91"/>
      <c r="N26" s="40"/>
      <c r="O26" s="40"/>
      <c r="AI26" s="44"/>
    </row>
    <row r="27" spans="1:36" ht="18.75">
      <c r="A27" s="3"/>
      <c r="B27" s="90" t="s">
        <v>361</v>
      </c>
      <c r="C27" s="91"/>
      <c r="D27" s="91"/>
      <c r="E27" s="91"/>
      <c r="F27" s="91"/>
      <c r="G27" s="91"/>
      <c r="H27" s="91"/>
      <c r="I27" s="91"/>
      <c r="J27" s="92"/>
      <c r="K27" s="91"/>
      <c r="L27" s="91"/>
      <c r="M27" s="91"/>
      <c r="N27" s="40"/>
      <c r="O27" s="40"/>
      <c r="AI27" s="44"/>
    </row>
    <row r="28" spans="1:36" s="506" customFormat="1" ht="15.75" thickBot="1">
      <c r="A28" s="501"/>
      <c r="B28" s="502"/>
      <c r="C28" s="503" t="s">
        <v>493</v>
      </c>
      <c r="D28" s="503" t="s">
        <v>462</v>
      </c>
      <c r="E28" s="503" t="s">
        <v>463</v>
      </c>
      <c r="F28" s="503" t="s">
        <v>464</v>
      </c>
      <c r="G28" s="503" t="s">
        <v>465</v>
      </c>
      <c r="H28" s="503" t="s">
        <v>466</v>
      </c>
      <c r="I28" s="503" t="s">
        <v>467</v>
      </c>
      <c r="J28" s="504" t="s">
        <v>468</v>
      </c>
      <c r="K28" s="503" t="s">
        <v>479</v>
      </c>
      <c r="L28" s="503" t="s">
        <v>480</v>
      </c>
      <c r="M28" s="503" t="s">
        <v>481</v>
      </c>
      <c r="N28" s="504" t="s">
        <v>482</v>
      </c>
      <c r="O28" s="504"/>
      <c r="AH28" s="505"/>
      <c r="AI28" s="505"/>
      <c r="AJ28" s="505"/>
    </row>
    <row r="29" spans="1:36" ht="15.75" thickBot="1">
      <c r="A29" s="3"/>
      <c r="B29" s="677"/>
      <c r="C29" s="678"/>
      <c r="D29" s="678"/>
      <c r="E29" s="678"/>
      <c r="F29" s="678"/>
      <c r="G29" s="678"/>
      <c r="H29" s="678"/>
      <c r="I29" s="678"/>
      <c r="J29" s="678"/>
      <c r="K29" s="678"/>
      <c r="L29" s="678"/>
      <c r="M29" s="678"/>
      <c r="N29" s="679"/>
      <c r="P29" s="208"/>
      <c r="Q29" s="209"/>
      <c r="R29" s="210">
        <f>+C33</f>
        <v>3728250.7482587667</v>
      </c>
      <c r="S29" s="208"/>
    </row>
    <row r="30" spans="1:36">
      <c r="A30" s="3"/>
      <c r="B30" s="93" t="s">
        <v>273</v>
      </c>
      <c r="C30" s="341" t="s">
        <v>112</v>
      </c>
      <c r="D30" s="341" t="s">
        <v>113</v>
      </c>
      <c r="E30" s="341" t="s">
        <v>114</v>
      </c>
      <c r="F30" s="341" t="s">
        <v>115</v>
      </c>
      <c r="G30" s="341" t="s">
        <v>126</v>
      </c>
      <c r="H30" s="341" t="s">
        <v>127</v>
      </c>
      <c r="I30" s="341" t="s">
        <v>128</v>
      </c>
      <c r="J30" s="341" t="s">
        <v>129</v>
      </c>
      <c r="K30" s="341" t="s">
        <v>130</v>
      </c>
      <c r="L30" s="341" t="s">
        <v>131</v>
      </c>
      <c r="M30" s="341" t="s">
        <v>132</v>
      </c>
      <c r="N30" s="342" t="s">
        <v>292</v>
      </c>
      <c r="O30" s="343" t="s">
        <v>9</v>
      </c>
      <c r="P30" s="208"/>
      <c r="Q30" s="209"/>
      <c r="R30" s="210">
        <f>+D33</f>
        <v>5632849.5931904744</v>
      </c>
      <c r="S30" s="208"/>
    </row>
    <row r="31" spans="1:36">
      <c r="A31" s="3"/>
      <c r="B31" s="259" t="str">
        <f>CONCATENATE("Budget (in ",'Data Entry'!$D$26,")")</f>
        <v>Budget (in $)</v>
      </c>
      <c r="C31" s="350">
        <v>3728250.7482587667</v>
      </c>
      <c r="D31" s="350">
        <v>1904598.8449317082</v>
      </c>
      <c r="E31" s="350">
        <v>565239.36540186265</v>
      </c>
      <c r="F31" s="350">
        <v>521840.43337822269</v>
      </c>
      <c r="G31" s="350"/>
      <c r="H31" s="350"/>
      <c r="I31" s="350"/>
      <c r="J31" s="350"/>
      <c r="K31" s="350"/>
      <c r="L31" s="350"/>
      <c r="M31" s="350"/>
      <c r="N31" s="350"/>
      <c r="O31" s="752">
        <f>+SUM(C35:N35)</f>
        <v>1.6628252096445473</v>
      </c>
      <c r="P31" s="208"/>
      <c r="Q31" s="209"/>
      <c r="R31" s="210">
        <f>+E33</f>
        <v>6198088.9585923366</v>
      </c>
      <c r="S31" s="208"/>
    </row>
    <row r="32" spans="1:36">
      <c r="A32" s="3"/>
      <c r="B32" s="93" t="str">
        <f>CONCATENATE("Disbursements by GF (in ", $D$26,")")</f>
        <v>Disbursements by GF (in $)</v>
      </c>
      <c r="C32" s="351">
        <v>4454139</v>
      </c>
      <c r="D32" s="351">
        <v>6719929</v>
      </c>
      <c r="E32" s="351">
        <v>0</v>
      </c>
      <c r="F32" s="351">
        <v>0</v>
      </c>
      <c r="G32" s="351"/>
      <c r="H32" s="351"/>
      <c r="I32" s="350"/>
      <c r="J32" s="350"/>
      <c r="K32" s="350"/>
      <c r="L32" s="350"/>
      <c r="M32" s="350"/>
      <c r="N32" s="350"/>
      <c r="O32" s="753"/>
      <c r="P32" s="208"/>
      <c r="Q32" s="209"/>
      <c r="R32" s="210">
        <f>+F33</f>
        <v>6719929.391970559</v>
      </c>
      <c r="S32" s="208"/>
    </row>
    <row r="33" spans="1:35">
      <c r="A33" s="3"/>
      <c r="B33" s="94" t="s">
        <v>366</v>
      </c>
      <c r="C33" s="352">
        <f>+C31</f>
        <v>3728250.7482587667</v>
      </c>
      <c r="D33" s="352">
        <f>IF(AND(D31=0,D32=0),0,+C33+D31)</f>
        <v>5632849.5931904744</v>
      </c>
      <c r="E33" s="352">
        <f>IF(AND(E31=0,E32=0),0,+D33+E31)</f>
        <v>6198088.9585923366</v>
      </c>
      <c r="F33" s="352">
        <f t="shared" ref="F33:M33" si="0">IF(AND(F31=0,F32=0),0,+E33+F31)</f>
        <v>6719929.391970559</v>
      </c>
      <c r="G33" s="352">
        <f t="shared" si="0"/>
        <v>0</v>
      </c>
      <c r="H33" s="352">
        <f t="shared" si="0"/>
        <v>0</v>
      </c>
      <c r="I33" s="352">
        <f t="shared" si="0"/>
        <v>0</v>
      </c>
      <c r="J33" s="352">
        <f t="shared" si="0"/>
        <v>0</v>
      </c>
      <c r="K33" s="352">
        <f t="shared" si="0"/>
        <v>0</v>
      </c>
      <c r="L33" s="352">
        <f t="shared" si="0"/>
        <v>0</v>
      </c>
      <c r="M33" s="352">
        <f t="shared" si="0"/>
        <v>0</v>
      </c>
      <c r="N33" s="352">
        <f>IF(AND(N31=0,N32=0),0,+M33+N31)</f>
        <v>0</v>
      </c>
      <c r="O33" s="753"/>
      <c r="P33" s="337"/>
      <c r="Q33" s="209"/>
      <c r="R33" s="210">
        <f>+G33</f>
        <v>0</v>
      </c>
      <c r="S33" s="208"/>
    </row>
    <row r="34" spans="1:35" ht="15.75" thickBot="1">
      <c r="A34" s="3"/>
      <c r="B34" s="95" t="s">
        <v>367</v>
      </c>
      <c r="C34" s="353">
        <f>+C32</f>
        <v>4454139</v>
      </c>
      <c r="D34" s="353">
        <f>IF(AND(D31=0,D32=0),0,+C34+D32)</f>
        <v>11174068</v>
      </c>
      <c r="E34" s="353">
        <f t="shared" ref="E34:N34" si="1">IF(AND(E31=0,E32=0),0,+D34+E32)</f>
        <v>11174068</v>
      </c>
      <c r="F34" s="353">
        <f t="shared" si="1"/>
        <v>11174068</v>
      </c>
      <c r="G34" s="353">
        <f t="shared" si="1"/>
        <v>0</v>
      </c>
      <c r="H34" s="353">
        <f t="shared" si="1"/>
        <v>0</v>
      </c>
      <c r="I34" s="353">
        <f t="shared" si="1"/>
        <v>0</v>
      </c>
      <c r="J34" s="353">
        <f t="shared" ref="J34" si="2">IF(AND(J31=0,J32=0),0,+I34+J32)</f>
        <v>0</v>
      </c>
      <c r="K34" s="353">
        <f t="shared" ref="K34" si="3">IF(AND(K31=0,K32=0),0,+J34+K32)</f>
        <v>0</v>
      </c>
      <c r="L34" s="353">
        <f t="shared" ref="L34" si="4">IF(AND(L31=0,L32=0),0,+K34+L32)</f>
        <v>0</v>
      </c>
      <c r="M34" s="353">
        <f t="shared" si="1"/>
        <v>0</v>
      </c>
      <c r="N34" s="353">
        <f t="shared" si="1"/>
        <v>0</v>
      </c>
      <c r="O34" s="754"/>
      <c r="P34" s="337"/>
      <c r="Q34" s="209"/>
      <c r="R34" s="210">
        <f>+H33</f>
        <v>0</v>
      </c>
      <c r="S34" s="208"/>
    </row>
    <row r="35" spans="1:35">
      <c r="A35" s="3"/>
      <c r="B35" s="3"/>
      <c r="C35" s="318">
        <f>+IF(AND(C30=$C$16,C33&lt;&gt;0),C34/C33,0)</f>
        <v>0</v>
      </c>
      <c r="D35" s="318">
        <f t="shared" ref="D35:N35" si="5">+IF(AND(D30=$C$16,D33&lt;&gt;0),D34/D33,0)</f>
        <v>0</v>
      </c>
      <c r="E35" s="318">
        <f t="shared" si="5"/>
        <v>0</v>
      </c>
      <c r="F35" s="318">
        <f t="shared" si="5"/>
        <v>1.6628252096445473</v>
      </c>
      <c r="G35" s="318">
        <f t="shared" si="5"/>
        <v>0</v>
      </c>
      <c r="H35" s="318">
        <f t="shared" si="5"/>
        <v>0</v>
      </c>
      <c r="I35" s="318">
        <f t="shared" si="5"/>
        <v>0</v>
      </c>
      <c r="J35" s="318">
        <f t="shared" si="5"/>
        <v>0</v>
      </c>
      <c r="K35" s="318">
        <f t="shared" si="5"/>
        <v>0</v>
      </c>
      <c r="L35" s="318">
        <f t="shared" si="5"/>
        <v>0</v>
      </c>
      <c r="M35" s="318">
        <f t="shared" si="5"/>
        <v>0</v>
      </c>
      <c r="N35" s="318">
        <f t="shared" si="5"/>
        <v>0</v>
      </c>
      <c r="O35" s="270"/>
      <c r="P35" s="211"/>
      <c r="Q35" s="212"/>
      <c r="R35" s="210">
        <f>+I33</f>
        <v>0</v>
      </c>
      <c r="S35" s="208"/>
    </row>
    <row r="36" spans="1:35" ht="18.75">
      <c r="A36" s="3"/>
      <c r="B36" s="90" t="s">
        <v>426</v>
      </c>
      <c r="C36" s="3"/>
      <c r="D36" s="3"/>
      <c r="E36" s="327"/>
      <c r="F36" s="3"/>
      <c r="G36" s="249"/>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61" t="s">
        <v>427</v>
      </c>
      <c r="C38" s="362" t="str">
        <f>CONCATENATE("Cumulative Budget (in ",'Data Entry'!$D$26,")")</f>
        <v>Cumulative Budget (in $)</v>
      </c>
      <c r="D38" s="363" t="str">
        <f>CONCATENATE("Cumulative Expenditures (in ",'Data Entry'!$D$26,")")</f>
        <v>Cumulative Expenditures (in $)</v>
      </c>
      <c r="E38" s="549" t="s">
        <v>510</v>
      </c>
      <c r="F38" s="550" t="s">
        <v>513</v>
      </c>
      <c r="G38" s="551" t="s">
        <v>512</v>
      </c>
      <c r="H38" s="3"/>
      <c r="I38" s="3"/>
      <c r="J38" s="100"/>
      <c r="K38" s="42"/>
      <c r="N38"/>
      <c r="O38"/>
      <c r="AE38" s="20"/>
      <c r="AF38" s="36"/>
    </row>
    <row r="39" spans="1:35" ht="14.25" customHeight="1">
      <c r="A39" s="3"/>
      <c r="B39" s="364" t="s">
        <v>483</v>
      </c>
      <c r="C39" s="533">
        <v>3077785.8239703034</v>
      </c>
      <c r="D39" s="532">
        <v>2785565.6</v>
      </c>
      <c r="E39" s="552">
        <f>C39/C$51</f>
        <v>0.45800865521710044</v>
      </c>
      <c r="F39" s="553">
        <f>D39/C39</f>
        <v>0.90505504908936674</v>
      </c>
      <c r="G39" s="554">
        <v>0.83566765344965122</v>
      </c>
      <c r="H39" s="3"/>
      <c r="I39" s="3"/>
      <c r="J39" s="101"/>
      <c r="K39" s="43"/>
      <c r="N39"/>
      <c r="O39"/>
      <c r="AE39" s="20"/>
      <c r="AF39" s="36"/>
    </row>
    <row r="40" spans="1:35" ht="14.25" customHeight="1">
      <c r="A40" s="3"/>
      <c r="B40" s="364" t="s">
        <v>484</v>
      </c>
      <c r="C40" s="533">
        <v>529020.98029208975</v>
      </c>
      <c r="D40" s="532">
        <v>233429.57</v>
      </c>
      <c r="E40" s="552">
        <f t="shared" ref="E40:E48" si="6">C40/C$51</f>
        <v>7.8724187329140827E-2</v>
      </c>
      <c r="F40" s="553">
        <f t="shared" ref="F40:F48" si="7">D40/C40</f>
        <v>0.44124822775670619</v>
      </c>
      <c r="G40" s="554">
        <v>0.36712305217192864</v>
      </c>
      <c r="H40" s="3"/>
      <c r="I40" s="3"/>
      <c r="J40" s="3"/>
      <c r="K40" s="43"/>
      <c r="N40"/>
      <c r="O40"/>
      <c r="AE40" s="20"/>
      <c r="AF40" s="36"/>
    </row>
    <row r="41" spans="1:35" ht="14.25" customHeight="1">
      <c r="A41" s="3"/>
      <c r="B41" s="364" t="s">
        <v>485</v>
      </c>
      <c r="C41" s="533">
        <v>1042598.3969604061</v>
      </c>
      <c r="D41" s="532">
        <v>345714.11</v>
      </c>
      <c r="E41" s="552">
        <f t="shared" si="6"/>
        <v>0.15515020116225853</v>
      </c>
      <c r="F41" s="553">
        <f t="shared" si="7"/>
        <v>0.33158895218705087</v>
      </c>
      <c r="G41" s="554">
        <v>0.30156943297394018</v>
      </c>
      <c r="H41" s="3"/>
      <c r="I41" s="3"/>
      <c r="J41" s="3"/>
      <c r="K41" s="43"/>
      <c r="N41"/>
      <c r="O41"/>
      <c r="AE41" s="20"/>
      <c r="AF41" s="36"/>
    </row>
    <row r="42" spans="1:35" ht="14.25" customHeight="1">
      <c r="A42" s="3"/>
      <c r="B42" s="364" t="s">
        <v>486</v>
      </c>
      <c r="C42" s="534">
        <v>0</v>
      </c>
      <c r="D42" s="532">
        <v>5088011.34</v>
      </c>
      <c r="E42" s="552">
        <f t="shared" si="6"/>
        <v>0</v>
      </c>
      <c r="F42" s="553" t="e">
        <f t="shared" si="7"/>
        <v>#DIV/0!</v>
      </c>
      <c r="G42" s="554" t="e">
        <v>#DIV/0!</v>
      </c>
      <c r="H42" s="3"/>
      <c r="I42" s="3"/>
      <c r="J42" s="3"/>
      <c r="K42" s="43"/>
      <c r="N42"/>
      <c r="O42"/>
      <c r="AE42" s="20"/>
      <c r="AF42" s="36"/>
    </row>
    <row r="43" spans="1:35" ht="14.25" customHeight="1">
      <c r="A43" s="3"/>
      <c r="B43" s="364" t="s">
        <v>487</v>
      </c>
      <c r="C43" s="534">
        <v>133278.59</v>
      </c>
      <c r="D43" s="532">
        <v>60044.77</v>
      </c>
      <c r="E43" s="552">
        <f t="shared" si="6"/>
        <v>1.9833331903643295E-2</v>
      </c>
      <c r="F43" s="553">
        <f t="shared" si="7"/>
        <v>0.45052074755592775</v>
      </c>
      <c r="G43" s="554">
        <v>0.32254670594225554</v>
      </c>
      <c r="H43" s="521"/>
      <c r="I43" s="3"/>
      <c r="J43" s="202"/>
      <c r="K43" s="500"/>
      <c r="N43"/>
      <c r="O43"/>
      <c r="AE43" s="20"/>
      <c r="AF43" s="36"/>
    </row>
    <row r="44" spans="1:35" ht="14.25" customHeight="1">
      <c r="A44" s="3"/>
      <c r="B44" s="364" t="s">
        <v>488</v>
      </c>
      <c r="C44" s="533">
        <v>27299.999999999996</v>
      </c>
      <c r="D44" s="532">
        <v>221279.63</v>
      </c>
      <c r="E44" s="552">
        <f t="shared" si="6"/>
        <v>4.0625426857341593E-3</v>
      </c>
      <c r="F44" s="553">
        <f t="shared" si="7"/>
        <v>8.1054809523809528</v>
      </c>
      <c r="G44" s="554">
        <v>7.9158384615384634</v>
      </c>
      <c r="H44" s="3" t="s">
        <v>514</v>
      </c>
      <c r="I44" s="3"/>
      <c r="J44" s="3"/>
      <c r="K44" s="43"/>
      <c r="N44"/>
      <c r="O44"/>
      <c r="AE44" s="20"/>
      <c r="AF44" s="36"/>
    </row>
    <row r="45" spans="1:35">
      <c r="A45" s="3"/>
      <c r="B45" s="364" t="s">
        <v>489</v>
      </c>
      <c r="C45" s="534">
        <v>12000</v>
      </c>
      <c r="D45" s="532">
        <v>9983.59</v>
      </c>
      <c r="E45" s="552">
        <f t="shared" si="6"/>
        <v>1.7857330486743561E-3</v>
      </c>
      <c r="F45" s="553">
        <f t="shared" si="7"/>
        <v>0.83196583333333329</v>
      </c>
      <c r="G45" s="554">
        <v>0.42914444444444444</v>
      </c>
      <c r="H45" s="202"/>
      <c r="I45" s="202"/>
      <c r="J45" s="3"/>
      <c r="K45" s="43"/>
      <c r="N45"/>
      <c r="O45"/>
      <c r="AE45" s="20"/>
      <c r="AF45" s="36"/>
    </row>
    <row r="46" spans="1:35" ht="15" customHeight="1">
      <c r="A46" s="3"/>
      <c r="B46" s="364" t="s">
        <v>490</v>
      </c>
      <c r="C46" s="534">
        <v>1566471.9310690816</v>
      </c>
      <c r="D46" s="532">
        <v>410214.44</v>
      </c>
      <c r="E46" s="552">
        <f t="shared" si="6"/>
        <v>0.23310839142756642</v>
      </c>
      <c r="F46" s="553">
        <f t="shared" si="7"/>
        <v>0.26187155471087054</v>
      </c>
      <c r="G46" s="554">
        <v>0.19581186349669452</v>
      </c>
      <c r="H46" s="202"/>
      <c r="I46" s="202"/>
      <c r="J46" s="3"/>
      <c r="K46" s="20"/>
      <c r="N46"/>
      <c r="O46"/>
      <c r="AE46" s="20"/>
      <c r="AF46" s="36"/>
    </row>
    <row r="47" spans="1:35">
      <c r="A47" s="3"/>
      <c r="B47" s="364" t="s">
        <v>491</v>
      </c>
      <c r="C47" s="534">
        <v>164303.48286049729</v>
      </c>
      <c r="D47" s="532">
        <v>7253.65</v>
      </c>
      <c r="E47" s="552">
        <f t="shared" si="6"/>
        <v>2.4450179946357554E-2</v>
      </c>
      <c r="F47" s="553">
        <f t="shared" si="7"/>
        <v>4.4147877292161533E-2</v>
      </c>
      <c r="G47" s="554">
        <v>8.2617552586451926E-2</v>
      </c>
      <c r="H47" s="3"/>
      <c r="I47" s="202"/>
      <c r="J47" s="3"/>
      <c r="K47" s="20"/>
      <c r="N47"/>
      <c r="O47"/>
      <c r="AE47" s="20"/>
      <c r="AF47" s="36"/>
    </row>
    <row r="48" spans="1:35">
      <c r="A48" s="3"/>
      <c r="B48" s="364" t="s">
        <v>492</v>
      </c>
      <c r="C48" s="535">
        <v>167170.18681818183</v>
      </c>
      <c r="D48" s="532">
        <v>173563.43</v>
      </c>
      <c r="E48" s="552">
        <f t="shared" si="6"/>
        <v>2.4876777279524458E-2</v>
      </c>
      <c r="F48" s="553">
        <f t="shared" si="7"/>
        <v>1.0382439195858026</v>
      </c>
      <c r="G48" s="554">
        <v>0.67191161135660471</v>
      </c>
      <c r="H48" s="3"/>
      <c r="I48" s="3"/>
      <c r="J48" s="3"/>
      <c r="K48" s="20"/>
      <c r="N48"/>
      <c r="O48"/>
      <c r="AE48" s="20"/>
      <c r="AF48" s="36"/>
    </row>
    <row r="49" spans="1:36">
      <c r="A49" s="3"/>
      <c r="B49" s="364"/>
      <c r="C49" s="525"/>
      <c r="D49" s="524"/>
      <c r="E49" s="555"/>
      <c r="F49" s="556"/>
      <c r="G49" s="557"/>
      <c r="H49" s="15"/>
      <c r="I49" s="15"/>
      <c r="J49" s="15"/>
      <c r="K49" s="539"/>
      <c r="N49"/>
      <c r="O49"/>
      <c r="AE49" s="36"/>
      <c r="AF49" s="36"/>
    </row>
    <row r="50" spans="1:36" ht="30.75" thickBot="1">
      <c r="A50" s="3"/>
      <c r="B50" s="548" t="s">
        <v>516</v>
      </c>
      <c r="C50" s="525"/>
      <c r="D50" s="526"/>
      <c r="E50" s="961">
        <f>D51/(C51+5000000)</f>
        <v>0.79651163567551364</v>
      </c>
      <c r="F50" s="15"/>
      <c r="G50" s="15"/>
      <c r="H50" s="15"/>
      <c r="I50" s="15"/>
      <c r="J50" s="15"/>
      <c r="K50" s="499"/>
      <c r="N50"/>
      <c r="O50"/>
      <c r="AE50" s="36"/>
      <c r="AF50" s="36"/>
    </row>
    <row r="51" spans="1:36" ht="15.75" thickBot="1">
      <c r="A51" s="3"/>
      <c r="B51" s="365" t="s">
        <v>66</v>
      </c>
      <c r="C51" s="536">
        <f>SUM(C39:C50)</f>
        <v>6719929.39197056</v>
      </c>
      <c r="D51" s="536">
        <f>SUM(D39:D50)</f>
        <v>9335060.129999999</v>
      </c>
      <c r="E51" s="960">
        <f>D51/C51</f>
        <v>1.389160448791944</v>
      </c>
      <c r="F51" s="755" t="str">
        <f ca="1">+IF((ROUND(C51,0)=ROUND(OFFSET(B33,0,RIGHT('Data Entry'!$C$16,LEN('Data Entry'!$C$16)-1),1,1),0)),"OK: Data match","Warning:  Cumulative Budget data do not match")</f>
        <v>OK: Data match</v>
      </c>
      <c r="G51" s="756"/>
      <c r="H51" s="756"/>
      <c r="I51" s="757"/>
      <c r="J51" s="202"/>
      <c r="K51" s="202"/>
      <c r="L51" s="202"/>
      <c r="M51" s="211"/>
      <c r="N51" s="212"/>
      <c r="O51" s="210"/>
      <c r="P51" s="208"/>
      <c r="AE51" s="36"/>
      <c r="AF51" s="36"/>
    </row>
    <row r="52" spans="1:36" s="546" customFormat="1">
      <c r="A52" s="540"/>
      <c r="C52" s="558"/>
      <c r="D52" s="559">
        <f>D51/C51</f>
        <v>1.389160448791944</v>
      </c>
      <c r="E52" s="560"/>
      <c r="F52" s="541"/>
      <c r="G52" s="541"/>
      <c r="H52" s="541"/>
      <c r="I52" s="541"/>
      <c r="J52" s="541"/>
      <c r="K52" s="541"/>
      <c r="L52" s="541"/>
      <c r="M52" s="541"/>
      <c r="N52" s="541"/>
      <c r="O52" s="541"/>
      <c r="P52" s="542"/>
      <c r="Q52" s="543"/>
      <c r="R52" s="544"/>
      <c r="S52" s="545"/>
      <c r="AH52" s="547"/>
      <c r="AI52" s="547"/>
      <c r="AJ52" s="547"/>
    </row>
    <row r="53" spans="1:36" ht="18.75">
      <c r="A53" s="3"/>
      <c r="B53" s="90" t="s">
        <v>360</v>
      </c>
      <c r="C53" s="551"/>
      <c r="D53" s="554">
        <f>(D51-D42)/C51</f>
        <v>0.63200794863628618</v>
      </c>
      <c r="E53" s="551"/>
      <c r="F53" s="3"/>
      <c r="G53" s="3"/>
      <c r="H53" s="3"/>
      <c r="I53" s="3"/>
      <c r="J53" s="3"/>
      <c r="K53" s="3"/>
      <c r="L53" s="3"/>
      <c r="M53" s="3"/>
      <c r="P53" s="208"/>
      <c r="Q53" s="209"/>
      <c r="R53" s="210">
        <f>+J33</f>
        <v>0</v>
      </c>
      <c r="S53" s="208"/>
    </row>
    <row r="54" spans="1:36" ht="15.75" thickBot="1">
      <c r="A54" s="3"/>
      <c r="B54" s="537" t="s">
        <v>511</v>
      </c>
      <c r="C54" s="561">
        <f>C51-6198089</f>
        <v>521840.39197055995</v>
      </c>
      <c r="D54" s="562">
        <f>D51-8577436</f>
        <v>757624.12999999896</v>
      </c>
      <c r="E54" s="554">
        <f>D54/C54</f>
        <v>1.4518311377528264</v>
      </c>
      <c r="F54" s="3"/>
      <c r="G54" s="3"/>
      <c r="H54" s="3"/>
      <c r="I54" s="3"/>
      <c r="J54" s="3"/>
      <c r="K54" s="3"/>
      <c r="L54" s="3"/>
      <c r="M54" s="3"/>
      <c r="P54" s="208"/>
      <c r="Q54" s="209"/>
      <c r="R54" s="210">
        <f>+K33</f>
        <v>0</v>
      </c>
      <c r="S54" s="208"/>
    </row>
    <row r="55" spans="1:36" ht="35.25" customHeight="1">
      <c r="A55" s="3"/>
      <c r="B55" s="275"/>
      <c r="C55" s="276" t="s">
        <v>358</v>
      </c>
      <c r="D55" s="276" t="s">
        <v>359</v>
      </c>
      <c r="E55" s="380" t="str">
        <f>CONCATENATE("Totals (in ",D26,")")</f>
        <v>Totals (in $)</v>
      </c>
      <c r="F55" s="3"/>
      <c r="G55" s="460" t="s">
        <v>416</v>
      </c>
      <c r="H55" s="272"/>
      <c r="I55" s="260"/>
      <c r="J55" s="260"/>
      <c r="K55" s="260"/>
      <c r="L55" s="260"/>
      <c r="M55" s="22"/>
      <c r="N55" s="22"/>
      <c r="O55" s="208"/>
      <c r="P55" s="209"/>
      <c r="Q55" s="210">
        <f>+M33</f>
        <v>0</v>
      </c>
      <c r="R55" s="208"/>
      <c r="AH55" s="20"/>
    </row>
    <row r="56" spans="1:36">
      <c r="A56" s="3"/>
      <c r="B56" s="273" t="s">
        <v>313</v>
      </c>
      <c r="C56" s="354">
        <v>6719929</v>
      </c>
      <c r="D56" s="527">
        <v>0</v>
      </c>
      <c r="E56" s="528">
        <f>+D56+C56</f>
        <v>6719929</v>
      </c>
      <c r="F56" s="3"/>
      <c r="G56" s="461"/>
      <c r="H56" s="272"/>
      <c r="I56" s="96"/>
      <c r="J56" s="205"/>
      <c r="K56" s="206"/>
      <c r="L56" s="97"/>
      <c r="M56" s="37"/>
      <c r="N56" s="37"/>
      <c r="O56" s="208"/>
      <c r="P56" s="208"/>
      <c r="Q56" s="208"/>
      <c r="R56" s="208"/>
      <c r="AH56" s="20"/>
    </row>
    <row r="57" spans="1:36">
      <c r="A57" s="3"/>
      <c r="B57" s="273" t="s">
        <v>469</v>
      </c>
      <c r="C57" s="354">
        <v>8577435.6699999999</v>
      </c>
      <c r="D57" s="527">
        <f>D51-C57</f>
        <v>757624.45999999903</v>
      </c>
      <c r="E57" s="528">
        <f>+D57+C57</f>
        <v>9335060.129999999</v>
      </c>
      <c r="F57" s="3"/>
      <c r="G57" s="462"/>
      <c r="H57" s="272"/>
      <c r="I57" s="96"/>
      <c r="J57" s="205"/>
      <c r="K57" s="205"/>
      <c r="L57" s="97"/>
      <c r="M57" s="38"/>
      <c r="N57" s="38"/>
      <c r="O57" s="208"/>
      <c r="P57" s="208"/>
      <c r="Q57" s="208"/>
      <c r="R57" s="208"/>
      <c r="AH57" s="20"/>
    </row>
    <row r="58" spans="1:36">
      <c r="A58" s="3"/>
      <c r="B58" s="273" t="s">
        <v>275</v>
      </c>
      <c r="C58" s="354">
        <v>0</v>
      </c>
      <c r="D58" s="354">
        <v>0</v>
      </c>
      <c r="E58" s="355">
        <f>+D58+C58</f>
        <v>0</v>
      </c>
      <c r="F58" s="3"/>
      <c r="G58" s="462"/>
      <c r="H58" s="277"/>
      <c r="I58" s="96"/>
      <c r="J58" s="205"/>
      <c r="K58" s="206"/>
      <c r="L58" s="97"/>
      <c r="M58" s="37"/>
      <c r="N58" s="37"/>
      <c r="O58"/>
      <c r="AH58" s="20"/>
    </row>
    <row r="59" spans="1:36" ht="15.75" thickBot="1">
      <c r="A59" s="3"/>
      <c r="B59" s="274" t="s">
        <v>276</v>
      </c>
      <c r="C59" s="356">
        <v>0</v>
      </c>
      <c r="D59" s="356">
        <v>0</v>
      </c>
      <c r="E59" s="357">
        <f>+D59+C59</f>
        <v>0</v>
      </c>
      <c r="F59" s="3"/>
      <c r="G59" s="463"/>
      <c r="H59" s="278"/>
      <c r="I59" s="98"/>
      <c r="J59" s="98"/>
      <c r="K59" s="98"/>
      <c r="L59" s="97"/>
      <c r="M59" s="38"/>
      <c r="N59" s="38"/>
      <c r="O59"/>
      <c r="AH59" s="20"/>
    </row>
    <row r="60" spans="1:36" ht="15.75" customHeight="1">
      <c r="A60" s="3"/>
      <c r="B60" s="3"/>
      <c r="C60" s="3"/>
      <c r="D60" s="3"/>
      <c r="E60" s="3"/>
      <c r="F60" s="3"/>
      <c r="G60" s="3"/>
      <c r="H60" s="3"/>
      <c r="I60" s="3"/>
      <c r="J60" s="3"/>
      <c r="K60" s="3"/>
      <c r="L60" s="3"/>
      <c r="M60" s="3"/>
      <c r="AI60" s="20"/>
    </row>
    <row r="61" spans="1:36">
      <c r="A61" s="3"/>
      <c r="B61" s="3"/>
      <c r="C61" s="3"/>
      <c r="D61" s="258"/>
      <c r="E61" s="3"/>
      <c r="F61" s="3"/>
      <c r="G61" s="3"/>
      <c r="H61" s="3"/>
      <c r="I61" s="3"/>
      <c r="J61" s="3"/>
      <c r="K61" s="3"/>
      <c r="L61" s="3"/>
      <c r="M61" s="3"/>
    </row>
    <row r="62" spans="1:36" ht="18.75">
      <c r="A62" s="3"/>
      <c r="B62" s="90" t="s">
        <v>362</v>
      </c>
      <c r="C62" s="3"/>
      <c r="D62" s="3"/>
      <c r="E62" s="3"/>
      <c r="F62" s="3"/>
      <c r="G62" s="3"/>
      <c r="H62" s="3"/>
      <c r="I62" s="3"/>
      <c r="J62" s="3"/>
      <c r="K62" s="3"/>
      <c r="L62" s="3"/>
      <c r="M62" s="3"/>
    </row>
    <row r="63" spans="1:36" ht="15.75" thickBot="1">
      <c r="A63" s="3"/>
      <c r="B63" s="3"/>
      <c r="C63" s="3"/>
      <c r="D63" s="3"/>
      <c r="E63" s="3"/>
      <c r="F63" s="3"/>
      <c r="G63" s="3"/>
      <c r="H63" s="3"/>
      <c r="I63" s="3"/>
      <c r="J63" s="3"/>
      <c r="K63" s="3"/>
      <c r="L63" s="3"/>
      <c r="M63" s="3"/>
    </row>
    <row r="64" spans="1:36">
      <c r="A64" s="3"/>
      <c r="B64" s="684" t="s">
        <v>335</v>
      </c>
      <c r="C64" s="685"/>
      <c r="D64" s="686"/>
      <c r="E64" s="3"/>
      <c r="F64" s="3"/>
      <c r="G64" s="3"/>
      <c r="H64" s="3"/>
      <c r="I64" s="3"/>
      <c r="J64" s="3"/>
      <c r="K64" s="3"/>
      <c r="L64" s="3"/>
      <c r="M64" s="36"/>
      <c r="O64"/>
    </row>
    <row r="65" spans="1:30">
      <c r="A65" s="3"/>
      <c r="B65" s="102"/>
      <c r="C65" s="280" t="s">
        <v>67</v>
      </c>
      <c r="D65" s="281" t="s">
        <v>68</v>
      </c>
      <c r="E65" s="3"/>
      <c r="F65" s="3"/>
      <c r="G65" s="3"/>
      <c r="H65" s="3"/>
      <c r="I65" s="3"/>
      <c r="J65" s="3"/>
      <c r="K65" s="3"/>
      <c r="L65" s="3"/>
      <c r="M65" s="36"/>
      <c r="O65"/>
    </row>
    <row r="66" spans="1:30">
      <c r="A66" s="3"/>
      <c r="B66" s="103" t="s">
        <v>6</v>
      </c>
      <c r="C66" s="338">
        <v>45</v>
      </c>
      <c r="D66" s="338">
        <v>45</v>
      </c>
      <c r="E66" s="3" t="s">
        <v>428</v>
      </c>
      <c r="F66" s="3"/>
      <c r="G66" s="3"/>
      <c r="H66" s="3"/>
      <c r="I66" s="3"/>
      <c r="J66" s="3"/>
      <c r="K66" s="3"/>
      <c r="L66" s="3"/>
      <c r="M66" s="36"/>
      <c r="O66"/>
    </row>
    <row r="67" spans="1:30">
      <c r="A67" s="3"/>
      <c r="B67" s="279" t="s">
        <v>346</v>
      </c>
      <c r="C67" s="338">
        <v>45</v>
      </c>
      <c r="D67" s="338" t="s">
        <v>470</v>
      </c>
      <c r="E67" s="3" t="s">
        <v>396</v>
      </c>
      <c r="F67" s="3"/>
      <c r="G67" s="3"/>
      <c r="H67" s="277"/>
      <c r="I67" s="277"/>
      <c r="J67" s="3"/>
      <c r="K67" s="3"/>
      <c r="L67" s="3"/>
      <c r="M67" s="36"/>
      <c r="O67"/>
    </row>
    <row r="68" spans="1:30" ht="15.75" thickBot="1">
      <c r="A68" s="3"/>
      <c r="B68" s="104" t="s">
        <v>347</v>
      </c>
      <c r="C68" s="339"/>
      <c r="D68" s="340"/>
      <c r="E68" s="442" t="s">
        <v>397</v>
      </c>
      <c r="F68" s="3"/>
      <c r="G68" s="3"/>
      <c r="H68" s="277"/>
      <c r="I68" s="277"/>
      <c r="J68" s="3"/>
      <c r="K68" s="3"/>
      <c r="L68" s="3"/>
      <c r="M68" s="36"/>
      <c r="O68"/>
    </row>
    <row r="69" spans="1:30">
      <c r="A69" s="3"/>
      <c r="B69" s="3"/>
      <c r="C69" s="3"/>
      <c r="D69" s="3"/>
      <c r="E69" s="3"/>
      <c r="F69" s="3"/>
      <c r="G69" s="3"/>
      <c r="H69" s="3"/>
      <c r="I69" s="3"/>
      <c r="J69" s="3"/>
      <c r="K69" s="3"/>
      <c r="L69" s="3"/>
      <c r="M69" s="3"/>
    </row>
    <row r="70" spans="1:30" ht="15.75" thickBot="1">
      <c r="A70" s="3"/>
      <c r="B70" s="3"/>
      <c r="C70" s="3"/>
      <c r="D70" s="3"/>
      <c r="E70" s="3"/>
      <c r="F70" s="3"/>
      <c r="G70" s="3"/>
      <c r="H70" s="3"/>
      <c r="I70" s="3"/>
      <c r="J70" s="3"/>
      <c r="K70" s="3"/>
      <c r="L70" s="376"/>
      <c r="M70" s="3"/>
      <c r="AC70" s="19"/>
      <c r="AD70" s="19"/>
    </row>
    <row r="71" spans="1:30" ht="19.5" thickBot="1">
      <c r="A71" s="3"/>
      <c r="B71" s="105" t="s">
        <v>269</v>
      </c>
      <c r="C71" s="106"/>
      <c r="D71" s="106"/>
      <c r="E71" s="106"/>
      <c r="F71" s="106"/>
      <c r="G71" s="106"/>
      <c r="H71" s="301" t="s">
        <v>306</v>
      </c>
      <c r="I71" s="106"/>
      <c r="J71" s="107"/>
      <c r="K71" s="107"/>
      <c r="L71" s="377"/>
      <c r="M71" s="378"/>
      <c r="N71" s="84"/>
      <c r="O71" s="84"/>
      <c r="P71" s="84"/>
      <c r="S71" s="44"/>
      <c r="AC71" s="19"/>
      <c r="AD71" s="19"/>
    </row>
    <row r="72" spans="1:30" ht="18.75">
      <c r="A72" s="3"/>
      <c r="B72" s="109"/>
      <c r="C72" s="108"/>
      <c r="D72" s="108"/>
      <c r="E72" s="108"/>
      <c r="F72" s="108"/>
      <c r="G72" s="108"/>
      <c r="H72" s="108"/>
      <c r="I72" s="108"/>
      <c r="J72" s="108"/>
      <c r="K72" s="110"/>
      <c r="L72" s="110"/>
      <c r="M72" s="108"/>
      <c r="N72" s="84"/>
      <c r="O72" s="84"/>
      <c r="P72" s="84"/>
      <c r="S72" s="44"/>
      <c r="AC72" s="19"/>
      <c r="AD72" s="19"/>
    </row>
    <row r="73" spans="1:30" ht="18.75">
      <c r="A73" s="3"/>
      <c r="B73" s="109" t="s">
        <v>363</v>
      </c>
      <c r="C73" s="108"/>
      <c r="D73" s="108"/>
      <c r="E73" s="485" t="s">
        <v>429</v>
      </c>
      <c r="F73" s="486">
        <f>G16</f>
        <v>42369</v>
      </c>
      <c r="G73" s="108"/>
      <c r="H73" s="108"/>
      <c r="I73" s="108"/>
      <c r="J73" s="108"/>
      <c r="K73" s="110"/>
      <c r="L73" s="110"/>
      <c r="M73" s="108"/>
      <c r="N73" s="84"/>
      <c r="O73" s="84"/>
      <c r="P73" s="84"/>
      <c r="S73" s="44"/>
      <c r="AC73" s="19"/>
      <c r="AD73" s="19"/>
    </row>
    <row r="74" spans="1:30" ht="15.75" thickBot="1">
      <c r="A74" s="3"/>
      <c r="B74" s="2"/>
      <c r="C74" s="111"/>
      <c r="D74" s="111"/>
      <c r="E74" s="111"/>
      <c r="F74" s="111"/>
      <c r="G74" s="111"/>
      <c r="H74" s="2"/>
      <c r="I74" s="111"/>
      <c r="J74" s="2"/>
      <c r="K74" s="2"/>
      <c r="L74" s="2"/>
      <c r="M74" s="2"/>
      <c r="N74" s="20"/>
      <c r="O74" s="19"/>
      <c r="P74" s="19"/>
      <c r="Q74" s="19"/>
      <c r="R74" s="19"/>
      <c r="S74" s="19"/>
      <c r="AD74" s="19"/>
    </row>
    <row r="75" spans="1:30" ht="30">
      <c r="A75" s="3"/>
      <c r="B75" s="726"/>
      <c r="C75" s="727"/>
      <c r="D75" s="113" t="s">
        <v>123</v>
      </c>
      <c r="E75" s="114" t="s">
        <v>299</v>
      </c>
      <c r="F75" s="114" t="s">
        <v>124</v>
      </c>
      <c r="G75" s="115" t="s">
        <v>66</v>
      </c>
      <c r="H75" s="289"/>
      <c r="I75" s="496"/>
      <c r="J75" s="15"/>
      <c r="K75" s="2"/>
      <c r="L75" s="2"/>
      <c r="M75" s="2"/>
      <c r="N75" s="20"/>
      <c r="O75" s="19"/>
      <c r="P75" s="19"/>
      <c r="Q75" s="19"/>
      <c r="R75" s="19"/>
      <c r="S75" s="19"/>
    </row>
    <row r="76" spans="1:30">
      <c r="A76" s="3"/>
      <c r="B76" s="735" t="s">
        <v>417</v>
      </c>
      <c r="C76" s="736"/>
      <c r="D76" s="246"/>
      <c r="E76" s="246"/>
      <c r="F76" s="246"/>
      <c r="G76" s="117"/>
      <c r="H76" s="271"/>
      <c r="I76" s="288"/>
      <c r="J76" s="288"/>
      <c r="K76" s="2"/>
      <c r="L76" s="2"/>
      <c r="M76" s="2"/>
      <c r="N76" s="20"/>
      <c r="O76" s="19"/>
      <c r="P76" s="19"/>
      <c r="Q76" s="19"/>
      <c r="R76" s="19"/>
      <c r="S76" s="19"/>
    </row>
    <row r="77" spans="1:30" ht="15.75" thickBot="1">
      <c r="A77" s="3"/>
      <c r="B77" s="695" t="s">
        <v>18</v>
      </c>
      <c r="C77" s="696"/>
      <c r="D77" s="247"/>
      <c r="E77" s="247"/>
      <c r="F77" s="247"/>
      <c r="G77" s="119"/>
      <c r="H77" s="271"/>
      <c r="I77" s="15"/>
      <c r="J77" s="15"/>
      <c r="K77" s="2"/>
      <c r="L77" s="2"/>
      <c r="M77" s="2"/>
      <c r="N77" s="19"/>
      <c r="O77" s="19"/>
      <c r="P77" s="19"/>
      <c r="Q77" s="19"/>
      <c r="R77" s="19"/>
      <c r="S77" s="19"/>
    </row>
    <row r="78" spans="1:30">
      <c r="A78" s="3"/>
      <c r="B78" s="2"/>
      <c r="C78" s="2"/>
      <c r="D78" s="2"/>
      <c r="E78" s="2"/>
      <c r="F78" s="2"/>
      <c r="G78" s="2"/>
      <c r="H78" s="2"/>
      <c r="I78" s="2"/>
      <c r="J78" s="2"/>
      <c r="K78" s="2"/>
      <c r="L78" s="2"/>
      <c r="M78" s="2"/>
      <c r="N78" s="19"/>
      <c r="O78" s="19"/>
      <c r="P78" s="19"/>
      <c r="Q78" s="19"/>
      <c r="R78" s="19"/>
      <c r="S78" s="19"/>
    </row>
    <row r="79" spans="1:30">
      <c r="A79" s="3"/>
      <c r="B79" s="2"/>
      <c r="C79" s="2"/>
      <c r="D79" s="2"/>
      <c r="E79" s="2"/>
      <c r="F79" s="2"/>
      <c r="G79" s="2"/>
      <c r="H79" s="2"/>
      <c r="I79" s="2"/>
      <c r="J79" s="2"/>
      <c r="K79" s="2"/>
      <c r="L79" s="2"/>
      <c r="M79" s="2"/>
      <c r="N79" s="19"/>
      <c r="O79" s="19"/>
      <c r="P79" s="19"/>
      <c r="S79" s="19"/>
    </row>
    <row r="80" spans="1:30" ht="18.75">
      <c r="A80" s="3"/>
      <c r="B80" s="109" t="s">
        <v>364</v>
      </c>
      <c r="C80" s="2"/>
      <c r="D80" s="485" t="s">
        <v>429</v>
      </c>
      <c r="E80" s="486">
        <f>G16</f>
        <v>42369</v>
      </c>
      <c r="F80" s="2"/>
      <c r="G80" s="2"/>
      <c r="H80" s="2"/>
      <c r="I80" s="2"/>
      <c r="J80" s="2"/>
      <c r="K80" s="2"/>
      <c r="L80" s="2"/>
      <c r="M80" s="2"/>
      <c r="N80" s="19"/>
      <c r="O80" s="19"/>
      <c r="P80" s="19"/>
      <c r="S80" s="19"/>
    </row>
    <row r="81" spans="1:36" ht="15.75" thickBot="1">
      <c r="A81" s="3"/>
      <c r="B81" s="2"/>
      <c r="C81" s="2"/>
      <c r="D81" s="2"/>
      <c r="E81" s="2"/>
      <c r="F81" s="2"/>
      <c r="G81" s="2"/>
      <c r="H81" s="2"/>
      <c r="I81" s="2"/>
      <c r="J81" s="2"/>
      <c r="K81" s="2"/>
      <c r="L81" s="2"/>
      <c r="M81" s="2"/>
      <c r="N81" s="19"/>
      <c r="O81" s="19"/>
      <c r="P81" s="19"/>
      <c r="S81" s="19"/>
    </row>
    <row r="82" spans="1:36">
      <c r="A82" s="3"/>
      <c r="B82" s="120"/>
      <c r="C82" s="112" t="s">
        <v>70</v>
      </c>
      <c r="D82" s="112" t="s">
        <v>88</v>
      </c>
      <c r="E82" s="121" t="s">
        <v>71</v>
      </c>
      <c r="F82" s="15"/>
      <c r="G82" s="15"/>
      <c r="H82" s="15"/>
      <c r="I82" s="478" t="s">
        <v>431</v>
      </c>
      <c r="J82" s="2"/>
      <c r="K82" s="2"/>
      <c r="L82" s="2"/>
      <c r="M82" s="2"/>
      <c r="N82" s="19"/>
      <c r="O82" s="19"/>
      <c r="P82" s="19"/>
      <c r="S82" s="19"/>
    </row>
    <row r="83" spans="1:36" ht="15.75" thickBot="1">
      <c r="A83" s="3"/>
      <c r="B83" s="122" t="s">
        <v>401</v>
      </c>
      <c r="C83" s="328"/>
      <c r="D83" s="328"/>
      <c r="E83" s="329"/>
      <c r="F83" s="251"/>
      <c r="G83" s="255"/>
      <c r="H83" s="15"/>
      <c r="I83" s="479" t="s">
        <v>431</v>
      </c>
      <c r="J83" s="2"/>
      <c r="K83" s="2"/>
      <c r="L83" s="2"/>
      <c r="M83" s="2"/>
      <c r="N83" s="19"/>
      <c r="O83" s="19"/>
      <c r="P83" s="19"/>
      <c r="S83" s="19"/>
    </row>
    <row r="84" spans="1:36">
      <c r="A84" s="3"/>
      <c r="B84" s="2"/>
      <c r="C84" s="2"/>
      <c r="D84" s="2"/>
      <c r="E84" s="2"/>
      <c r="F84" s="2"/>
      <c r="G84" s="2"/>
      <c r="H84" s="2"/>
      <c r="I84" s="2"/>
      <c r="J84" s="2"/>
      <c r="K84" s="2"/>
      <c r="L84" s="2"/>
      <c r="M84" s="2"/>
      <c r="N84" s="19"/>
      <c r="O84" s="19"/>
      <c r="P84" s="19"/>
      <c r="S84" s="19"/>
    </row>
    <row r="85" spans="1:36" ht="18.75">
      <c r="A85" s="3"/>
      <c r="B85" s="109" t="s">
        <v>368</v>
      </c>
      <c r="C85" s="2"/>
      <c r="D85" s="2"/>
      <c r="E85" s="2"/>
      <c r="F85" s="485" t="s">
        <v>429</v>
      </c>
      <c r="G85" s="486">
        <f>G16</f>
        <v>42369</v>
      </c>
      <c r="H85" s="2"/>
      <c r="I85" s="2"/>
      <c r="J85" s="2"/>
      <c r="K85" s="2"/>
      <c r="L85" s="2"/>
      <c r="M85" s="2"/>
      <c r="N85" s="19"/>
      <c r="O85" s="19"/>
      <c r="P85" s="19"/>
      <c r="S85" s="19"/>
    </row>
    <row r="86" spans="1:36" ht="15.75" thickBot="1">
      <c r="A86" s="3"/>
      <c r="B86" s="2"/>
      <c r="C86" s="2"/>
      <c r="D86" s="2"/>
      <c r="E86" s="2"/>
      <c r="F86" s="2"/>
      <c r="G86" s="2"/>
      <c r="H86" s="2"/>
      <c r="I86" s="2"/>
      <c r="J86" s="2"/>
      <c r="K86" s="2"/>
      <c r="L86" s="2"/>
      <c r="M86" s="2"/>
      <c r="N86" s="19"/>
      <c r="O86" s="19"/>
      <c r="P86" s="19"/>
      <c r="S86" s="19"/>
    </row>
    <row r="87" spans="1:36" ht="30">
      <c r="A87" s="3"/>
      <c r="B87" s="120"/>
      <c r="C87" s="112" t="s">
        <v>295</v>
      </c>
      <c r="D87" s="112" t="s">
        <v>74</v>
      </c>
      <c r="E87" s="112" t="s">
        <v>89</v>
      </c>
      <c r="F87" s="112" t="s">
        <v>75</v>
      </c>
      <c r="G87" s="150" t="s">
        <v>125</v>
      </c>
      <c r="H87" s="256"/>
      <c r="I87" s="478" t="s">
        <v>432</v>
      </c>
      <c r="J87" s="2"/>
      <c r="K87" s="2"/>
      <c r="L87" s="2"/>
      <c r="M87" s="2"/>
      <c r="N87" s="19"/>
      <c r="O87" s="19"/>
      <c r="P87" s="19"/>
      <c r="S87" s="19"/>
    </row>
    <row r="88" spans="1:36" ht="15.75" thickBot="1">
      <c r="A88" s="3"/>
      <c r="B88" s="122" t="s">
        <v>133</v>
      </c>
      <c r="C88" s="328">
        <v>0</v>
      </c>
      <c r="D88" s="328">
        <v>0</v>
      </c>
      <c r="E88" s="328">
        <v>0</v>
      </c>
      <c r="F88" s="328">
        <v>0</v>
      </c>
      <c r="G88" s="330">
        <v>0</v>
      </c>
      <c r="H88" s="290"/>
      <c r="I88" s="479" t="s">
        <v>431</v>
      </c>
      <c r="J88" s="2"/>
      <c r="K88" s="2"/>
      <c r="L88" s="2"/>
      <c r="M88" s="2"/>
      <c r="N88" s="19"/>
      <c r="O88" s="19"/>
      <c r="P88" s="19"/>
      <c r="S88" s="19"/>
    </row>
    <row r="89" spans="1:36">
      <c r="A89" s="3"/>
      <c r="B89" s="2"/>
      <c r="C89" s="2"/>
      <c r="D89" s="2"/>
      <c r="E89" s="2"/>
      <c r="F89" s="2"/>
      <c r="G89" s="2"/>
      <c r="H89" s="2"/>
      <c r="J89" s="2"/>
      <c r="K89" s="2"/>
      <c r="L89" s="2"/>
      <c r="M89" s="2"/>
      <c r="N89" s="19"/>
      <c r="O89" s="19"/>
      <c r="P89" s="19"/>
      <c r="S89" s="19"/>
    </row>
    <row r="90" spans="1:36" ht="18.75">
      <c r="A90" s="3"/>
      <c r="B90" s="109" t="s">
        <v>400</v>
      </c>
      <c r="C90" s="2"/>
      <c r="D90" s="2"/>
      <c r="E90" s="487" t="s">
        <v>430</v>
      </c>
      <c r="F90" s="488">
        <f>G16</f>
        <v>42369</v>
      </c>
      <c r="G90" s="2"/>
      <c r="H90" s="2"/>
      <c r="I90" s="2"/>
      <c r="J90" s="2"/>
      <c r="K90" s="2"/>
      <c r="L90" s="2"/>
      <c r="M90" s="2"/>
      <c r="N90" s="19"/>
      <c r="O90" s="19"/>
      <c r="P90" s="19"/>
      <c r="S90" s="19"/>
    </row>
    <row r="91" spans="1:36" ht="15.75" thickBot="1">
      <c r="A91" s="3"/>
      <c r="B91" s="2"/>
      <c r="C91" s="2"/>
      <c r="D91" s="2"/>
      <c r="E91" s="2"/>
      <c r="F91" s="2"/>
      <c r="G91" s="2"/>
      <c r="H91" s="2"/>
      <c r="I91" s="2"/>
      <c r="J91" s="2"/>
      <c r="K91" s="2"/>
      <c r="L91" s="2"/>
      <c r="M91" s="2"/>
      <c r="N91" s="19"/>
      <c r="O91" s="19"/>
      <c r="P91" s="19"/>
      <c r="S91" s="19"/>
    </row>
    <row r="92" spans="1:36">
      <c r="A92" s="3"/>
      <c r="B92" s="120"/>
      <c r="C92" s="123" t="s">
        <v>72</v>
      </c>
      <c r="D92" s="123" t="s">
        <v>73</v>
      </c>
      <c r="E92" s="124" t="s">
        <v>293</v>
      </c>
      <c r="F92" s="2"/>
      <c r="G92" s="2"/>
      <c r="H92" s="2"/>
      <c r="I92" s="2"/>
      <c r="J92" s="19"/>
      <c r="K92" s="19"/>
      <c r="L92" s="19"/>
      <c r="N92"/>
      <c r="O92" s="19"/>
      <c r="AG92" s="36"/>
      <c r="AJ92"/>
    </row>
    <row r="93" spans="1:36">
      <c r="A93" s="3"/>
      <c r="B93" s="116" t="s">
        <v>369</v>
      </c>
      <c r="C93" s="246">
        <v>0</v>
      </c>
      <c r="D93" s="248">
        <v>0</v>
      </c>
      <c r="E93" s="291">
        <f>C93-D93</f>
        <v>0</v>
      </c>
      <c r="F93" s="2"/>
      <c r="G93" s="2"/>
      <c r="H93" s="2"/>
      <c r="I93" s="478" t="s">
        <v>431</v>
      </c>
      <c r="J93" s="19"/>
      <c r="K93" s="19"/>
      <c r="L93" s="19"/>
      <c r="N93"/>
      <c r="O93" s="19"/>
      <c r="AG93" s="36"/>
      <c r="AJ93"/>
    </row>
    <row r="94" spans="1:36" ht="15.75" thickBot="1">
      <c r="A94" s="3"/>
      <c r="B94" s="118" t="s">
        <v>370</v>
      </c>
      <c r="C94" s="247">
        <v>0</v>
      </c>
      <c r="D94" s="292">
        <v>0</v>
      </c>
      <c r="E94" s="291">
        <f>C94-D94</f>
        <v>0</v>
      </c>
      <c r="F94" s="2"/>
      <c r="G94" s="2" t="str">
        <f>+IF((ROUND(G88,0)=ROUND(C94,0)),"OK: SR data match.","Warning: check SR data in M3 and M4.")</f>
        <v>OK: SR data match.</v>
      </c>
      <c r="H94" s="2"/>
      <c r="I94" s="479" t="s">
        <v>431</v>
      </c>
      <c r="J94" s="19"/>
      <c r="K94" s="19"/>
      <c r="L94" s="19"/>
      <c r="N94"/>
      <c r="O94" s="19"/>
      <c r="AG94" s="36"/>
      <c r="AJ94"/>
    </row>
    <row r="95" spans="1:36">
      <c r="A95" s="3"/>
      <c r="B95" s="2"/>
      <c r="C95" s="2"/>
      <c r="D95" s="2"/>
      <c r="E95" s="2"/>
      <c r="F95" s="2"/>
      <c r="G95" s="2"/>
      <c r="H95" s="2"/>
      <c r="I95" s="2"/>
      <c r="J95" s="2"/>
      <c r="K95" s="2"/>
      <c r="L95" s="2"/>
      <c r="M95" s="2"/>
      <c r="N95" s="19"/>
      <c r="O95" s="19"/>
      <c r="P95" s="19"/>
      <c r="S95" s="19"/>
    </row>
    <row r="96" spans="1:36" ht="18.75">
      <c r="A96" s="3"/>
      <c r="B96" s="109" t="s">
        <v>371</v>
      </c>
      <c r="C96" s="2"/>
      <c r="D96" s="2"/>
      <c r="E96" s="2"/>
      <c r="F96" s="2"/>
      <c r="G96" s="2"/>
      <c r="H96" s="2"/>
      <c r="I96" s="2"/>
      <c r="J96" s="2"/>
      <c r="K96" s="2"/>
      <c r="L96" s="2"/>
      <c r="M96" s="2"/>
      <c r="N96" s="19"/>
      <c r="O96" s="19"/>
      <c r="P96" s="19"/>
      <c r="S96" s="19"/>
    </row>
    <row r="97" spans="1:19" ht="15.75" thickBot="1">
      <c r="A97" s="3"/>
      <c r="B97" s="2"/>
      <c r="C97" s="409" t="str">
        <f>C28</f>
        <v>Jan-Mar 2015</v>
      </c>
      <c r="D97" s="409" t="str">
        <f t="shared" ref="D97:N97" si="8">D28</f>
        <v>Apr - Jun 2015</v>
      </c>
      <c r="E97" s="409" t="str">
        <f t="shared" si="8"/>
        <v>Jul - Sept 2015</v>
      </c>
      <c r="F97" s="409" t="str">
        <f t="shared" si="8"/>
        <v>Oct - Dec 2015</v>
      </c>
      <c r="G97" s="409" t="str">
        <f t="shared" si="8"/>
        <v>Jan - Mar 2016</v>
      </c>
      <c r="H97" s="409" t="str">
        <f t="shared" si="8"/>
        <v>Apr - Jun 2016</v>
      </c>
      <c r="I97" s="409" t="str">
        <f t="shared" si="8"/>
        <v>Jul - Sept 2016</v>
      </c>
      <c r="J97" s="409" t="str">
        <f t="shared" si="8"/>
        <v>Oct - Dec 2016</v>
      </c>
      <c r="K97" s="409" t="str">
        <f t="shared" si="8"/>
        <v>Jan - Mar 2017</v>
      </c>
      <c r="L97" s="409" t="str">
        <f t="shared" si="8"/>
        <v>Apr - Jun 2017</v>
      </c>
      <c r="M97" s="409" t="str">
        <f t="shared" si="8"/>
        <v>Jul - Sept 2017</v>
      </c>
      <c r="N97" s="409" t="str">
        <f t="shared" si="8"/>
        <v>Oct - Dec 2017</v>
      </c>
      <c r="O97" s="20"/>
      <c r="P97" s="20"/>
      <c r="S97" s="19"/>
    </row>
    <row r="98" spans="1:19">
      <c r="A98" s="3"/>
      <c r="B98" s="220"/>
      <c r="C98" s="457" t="str">
        <f>C30</f>
        <v>P1</v>
      </c>
      <c r="D98" s="457" t="str">
        <f t="shared" ref="D98:N98" si="9">D30</f>
        <v>P2</v>
      </c>
      <c r="E98" s="457" t="str">
        <f t="shared" si="9"/>
        <v>P3</v>
      </c>
      <c r="F98" s="457" t="str">
        <f t="shared" si="9"/>
        <v>P4</v>
      </c>
      <c r="G98" s="457" t="str">
        <f t="shared" si="9"/>
        <v>P5</v>
      </c>
      <c r="H98" s="457" t="str">
        <f t="shared" si="9"/>
        <v>P6</v>
      </c>
      <c r="I98" s="457" t="str">
        <f t="shared" si="9"/>
        <v>P7</v>
      </c>
      <c r="J98" s="457" t="str">
        <f t="shared" si="9"/>
        <v>P8</v>
      </c>
      <c r="K98" s="457" t="str">
        <f t="shared" si="9"/>
        <v>P9</v>
      </c>
      <c r="L98" s="457" t="str">
        <f t="shared" si="9"/>
        <v>P10</v>
      </c>
      <c r="M98" s="457" t="str">
        <f t="shared" si="9"/>
        <v>P11</v>
      </c>
      <c r="N98" s="457" t="str">
        <f t="shared" si="9"/>
        <v>P12</v>
      </c>
      <c r="O98" s="20"/>
      <c r="P98" s="20"/>
      <c r="S98" s="19"/>
    </row>
    <row r="99" spans="1:19" ht="15" customHeight="1">
      <c r="A99" s="3"/>
      <c r="B99" s="344" t="s">
        <v>350</v>
      </c>
      <c r="C99" s="331">
        <v>56761.768333333333</v>
      </c>
      <c r="D99" s="331">
        <v>19574.375</v>
      </c>
      <c r="E99" s="331">
        <v>37368.07166666667</v>
      </c>
      <c r="F99" s="331">
        <v>19574.375</v>
      </c>
      <c r="G99" s="331"/>
      <c r="H99" s="331"/>
      <c r="I99" s="331"/>
      <c r="J99" s="331"/>
      <c r="K99" s="331"/>
      <c r="L99" s="331"/>
      <c r="M99" s="331"/>
      <c r="N99" s="331"/>
      <c r="O99" s="20"/>
      <c r="P99" s="20"/>
      <c r="S99" s="19"/>
    </row>
    <row r="100" spans="1:19" ht="15" customHeight="1">
      <c r="A100" s="3"/>
      <c r="B100" s="344" t="s">
        <v>348</v>
      </c>
      <c r="C100" s="331">
        <v>5088011.34</v>
      </c>
      <c r="D100" s="331">
        <v>-5088011</v>
      </c>
      <c r="E100" s="331">
        <v>0</v>
      </c>
      <c r="F100" s="331">
        <v>481080.2</v>
      </c>
      <c r="G100" s="331"/>
      <c r="H100" s="331"/>
      <c r="I100" s="331"/>
      <c r="J100" s="331"/>
      <c r="K100" s="331"/>
      <c r="L100" s="331"/>
      <c r="M100" s="331"/>
      <c r="N100" s="331"/>
      <c r="O100" s="344" t="s">
        <v>348</v>
      </c>
      <c r="P100" s="20"/>
      <c r="S100" s="19"/>
    </row>
    <row r="101" spans="1:19" ht="15" customHeight="1">
      <c r="A101" s="3"/>
      <c r="B101" s="344" t="s">
        <v>314</v>
      </c>
      <c r="C101" s="331">
        <v>29446.19</v>
      </c>
      <c r="D101" s="331">
        <v>5091030.3499999996</v>
      </c>
      <c r="E101" s="331">
        <v>4209.72</v>
      </c>
      <c r="F101" s="331">
        <v>23370.93</v>
      </c>
      <c r="G101" s="331"/>
      <c r="H101" s="331"/>
      <c r="I101" s="331"/>
      <c r="J101" s="331"/>
      <c r="K101" s="331"/>
      <c r="L101" s="331"/>
      <c r="M101" s="331"/>
      <c r="N101" s="331"/>
      <c r="O101" s="344" t="s">
        <v>314</v>
      </c>
      <c r="P101" s="20"/>
      <c r="S101" s="19"/>
    </row>
    <row r="102" spans="1:19" ht="15" customHeight="1">
      <c r="A102" s="3"/>
      <c r="B102" s="293" t="s">
        <v>473</v>
      </c>
      <c r="C102" s="332">
        <f>+C99</f>
        <v>56761.768333333333</v>
      </c>
      <c r="D102" s="332">
        <f t="shared" ref="D102:M102" si="10">+C102+D99</f>
        <v>76336.143333333341</v>
      </c>
      <c r="E102" s="332">
        <f>+D102+E99</f>
        <v>113704.21500000001</v>
      </c>
      <c r="F102" s="332">
        <f t="shared" si="10"/>
        <v>133278.59000000003</v>
      </c>
      <c r="G102" s="332">
        <f t="shared" si="10"/>
        <v>133278.59000000003</v>
      </c>
      <c r="H102" s="332">
        <f t="shared" si="10"/>
        <v>133278.59000000003</v>
      </c>
      <c r="I102" s="332">
        <f t="shared" si="10"/>
        <v>133278.59000000003</v>
      </c>
      <c r="J102" s="332">
        <f t="shared" si="10"/>
        <v>133278.59000000003</v>
      </c>
      <c r="K102" s="332">
        <f t="shared" si="10"/>
        <v>133278.59000000003</v>
      </c>
      <c r="L102" s="516">
        <f>+K102+L99</f>
        <v>133278.59000000003</v>
      </c>
      <c r="M102" s="332">
        <f t="shared" si="10"/>
        <v>133278.59000000003</v>
      </c>
      <c r="N102" s="332">
        <f>+M102+N99</f>
        <v>133278.59000000003</v>
      </c>
      <c r="O102" s="293" t="s">
        <v>350</v>
      </c>
      <c r="P102" s="20"/>
      <c r="S102" s="19"/>
    </row>
    <row r="103" spans="1:19" ht="15" customHeight="1">
      <c r="A103" s="3"/>
      <c r="B103" s="293" t="s">
        <v>515</v>
      </c>
      <c r="C103" s="332">
        <f>+C100</f>
        <v>5088011.34</v>
      </c>
      <c r="D103" s="538">
        <f t="shared" ref="D103:N103" si="11">+C103+D100</f>
        <v>0.33999999985098839</v>
      </c>
      <c r="E103" s="538">
        <f>+D103+E100</f>
        <v>0.33999999985098839</v>
      </c>
      <c r="F103" s="332">
        <f t="shared" si="11"/>
        <v>481080.53999999986</v>
      </c>
      <c r="G103" s="332">
        <f t="shared" si="11"/>
        <v>481080.53999999986</v>
      </c>
      <c r="H103" s="332">
        <f t="shared" si="11"/>
        <v>481080.53999999986</v>
      </c>
      <c r="I103" s="332">
        <f t="shared" si="11"/>
        <v>481080.53999999986</v>
      </c>
      <c r="J103" s="332">
        <f t="shared" si="11"/>
        <v>481080.53999999986</v>
      </c>
      <c r="K103" s="332">
        <f t="shared" si="11"/>
        <v>481080.53999999986</v>
      </c>
      <c r="L103" s="516">
        <f t="shared" si="11"/>
        <v>481080.53999999986</v>
      </c>
      <c r="M103" s="332">
        <f t="shared" si="11"/>
        <v>481080.53999999986</v>
      </c>
      <c r="N103" s="332">
        <f t="shared" si="11"/>
        <v>481080.53999999986</v>
      </c>
      <c r="O103" s="293" t="s">
        <v>10</v>
      </c>
      <c r="P103" s="20"/>
      <c r="S103" s="19"/>
    </row>
    <row r="104" spans="1:19">
      <c r="A104" s="3"/>
      <c r="B104" s="294" t="s">
        <v>11</v>
      </c>
      <c r="C104" s="333">
        <f>+C101</f>
        <v>29446.19</v>
      </c>
      <c r="D104" s="332">
        <f t="shared" ref="D104:N104" si="12">+C104+D101</f>
        <v>5120476.54</v>
      </c>
      <c r="E104" s="332">
        <f>+D104+E101</f>
        <v>5124686.26</v>
      </c>
      <c r="F104" s="332">
        <f t="shared" si="12"/>
        <v>5148057.1899999995</v>
      </c>
      <c r="G104" s="332">
        <f t="shared" si="12"/>
        <v>5148057.1899999995</v>
      </c>
      <c r="H104" s="332">
        <f t="shared" si="12"/>
        <v>5148057.1899999995</v>
      </c>
      <c r="I104" s="332">
        <f t="shared" si="12"/>
        <v>5148057.1899999995</v>
      </c>
      <c r="J104" s="332">
        <f t="shared" si="12"/>
        <v>5148057.1899999995</v>
      </c>
      <c r="K104" s="332">
        <f t="shared" si="12"/>
        <v>5148057.1899999995</v>
      </c>
      <c r="L104" s="516">
        <f t="shared" si="12"/>
        <v>5148057.1899999995</v>
      </c>
      <c r="M104" s="332">
        <f t="shared" si="12"/>
        <v>5148057.1899999995</v>
      </c>
      <c r="N104" s="332">
        <f t="shared" si="12"/>
        <v>5148057.1899999995</v>
      </c>
      <c r="O104" s="294" t="s">
        <v>11</v>
      </c>
      <c r="P104" s="20"/>
      <c r="S104" s="19"/>
    </row>
    <row r="105" spans="1:19">
      <c r="A105" s="3"/>
      <c r="B105" s="3"/>
      <c r="C105" s="2"/>
      <c r="D105" s="2"/>
      <c r="E105" s="2"/>
      <c r="F105" s="2"/>
      <c r="G105" s="2"/>
      <c r="H105" s="2"/>
      <c r="I105" s="15"/>
      <c r="J105" s="125"/>
      <c r="K105" s="126"/>
      <c r="L105" s="15"/>
      <c r="M105" s="127"/>
      <c r="N105" s="20"/>
      <c r="O105" s="20"/>
      <c r="P105" s="20"/>
      <c r="S105" s="19"/>
    </row>
    <row r="106" spans="1:19">
      <c r="A106" s="3"/>
      <c r="B106" s="2" t="s">
        <v>380</v>
      </c>
      <c r="C106" s="2"/>
      <c r="D106" s="2"/>
      <c r="E106" s="2"/>
      <c r="F106" s="2"/>
      <c r="G106" s="2"/>
      <c r="H106" s="497"/>
      <c r="I106" s="15"/>
      <c r="J106" s="125"/>
      <c r="K106" s="126"/>
      <c r="L106" s="15"/>
      <c r="M106" s="127"/>
      <c r="N106" s="20"/>
      <c r="O106" s="20"/>
      <c r="P106" s="20"/>
      <c r="S106" s="19"/>
    </row>
    <row r="107" spans="1:19">
      <c r="A107" s="3"/>
      <c r="C107" s="2"/>
      <c r="D107" s="2"/>
      <c r="E107" s="2"/>
      <c r="F107" s="2"/>
      <c r="G107" s="2"/>
      <c r="H107" s="2"/>
      <c r="I107" s="15"/>
      <c r="J107" s="125"/>
      <c r="K107" s="127"/>
      <c r="L107" s="15"/>
      <c r="M107" s="127"/>
      <c r="N107" s="20"/>
      <c r="O107" s="20"/>
      <c r="P107" s="20"/>
      <c r="S107" s="19"/>
    </row>
    <row r="108" spans="1:19">
      <c r="A108" s="3"/>
      <c r="B108" s="3"/>
      <c r="C108" s="3"/>
      <c r="D108" s="3"/>
      <c r="E108" s="3"/>
      <c r="F108" s="3"/>
      <c r="G108" s="3"/>
      <c r="H108" s="3"/>
      <c r="I108" s="15"/>
      <c r="J108" s="15"/>
      <c r="K108" s="15"/>
      <c r="L108" s="15"/>
      <c r="M108" s="15"/>
      <c r="N108" s="20"/>
      <c r="O108" s="20"/>
      <c r="P108" s="20"/>
    </row>
    <row r="109" spans="1:19" ht="18.75">
      <c r="A109" s="3"/>
      <c r="B109" s="109" t="s">
        <v>365</v>
      </c>
      <c r="C109" s="3"/>
      <c r="D109" s="3"/>
      <c r="E109" s="3"/>
      <c r="F109" s="3"/>
      <c r="G109" s="489" t="s">
        <v>429</v>
      </c>
      <c r="H109" s="490">
        <f>G16</f>
        <v>42369</v>
      </c>
      <c r="I109" s="15"/>
      <c r="J109" s="15"/>
      <c r="K109" s="15"/>
      <c r="L109" s="15"/>
      <c r="M109" s="15"/>
      <c r="N109" s="20"/>
      <c r="O109" s="20"/>
      <c r="P109" s="20"/>
    </row>
    <row r="110" spans="1:19" ht="15.75" thickBot="1">
      <c r="A110" s="3"/>
      <c r="B110" s="3"/>
      <c r="C110" s="15"/>
      <c r="D110" s="15"/>
      <c r="E110" s="15"/>
      <c r="F110" s="15"/>
      <c r="G110" s="2"/>
      <c r="H110" s="2"/>
      <c r="I110" s="2"/>
      <c r="J110" s="15"/>
      <c r="K110" s="2"/>
      <c r="L110" s="15"/>
      <c r="M110" s="15"/>
      <c r="N110" s="20"/>
      <c r="O110" s="20"/>
      <c r="P110" s="20"/>
      <c r="Q110" s="19"/>
      <c r="S110" s="20"/>
    </row>
    <row r="111" spans="1:19" ht="81.75" customHeight="1">
      <c r="A111" s="3"/>
      <c r="B111" s="295" t="s">
        <v>40</v>
      </c>
      <c r="C111" s="296" t="s">
        <v>86</v>
      </c>
      <c r="D111" s="297" t="s">
        <v>420</v>
      </c>
      <c r="E111" s="297" t="s">
        <v>421</v>
      </c>
      <c r="F111" s="297" t="s">
        <v>422</v>
      </c>
      <c r="G111" s="297" t="s">
        <v>423</v>
      </c>
      <c r="H111" s="297" t="s">
        <v>398</v>
      </c>
      <c r="I111" s="297" t="s">
        <v>424</v>
      </c>
      <c r="J111" s="297" t="s">
        <v>331</v>
      </c>
      <c r="K111" s="453" t="s">
        <v>399</v>
      </c>
      <c r="L111" s="2"/>
      <c r="M111" s="20"/>
      <c r="N111" s="20"/>
      <c r="O111" s="20"/>
      <c r="P111" s="19"/>
      <c r="R111" s="20"/>
    </row>
    <row r="112" spans="1:19">
      <c r="A112" s="3"/>
      <c r="B112" s="730" t="s">
        <v>41</v>
      </c>
      <c r="C112" s="367" t="s">
        <v>83</v>
      </c>
      <c r="D112" s="368">
        <v>0</v>
      </c>
      <c r="E112" s="369">
        <f>IF(ISBLANK(D112),"",D112*30)</f>
        <v>0</v>
      </c>
      <c r="F112" s="334">
        <v>0</v>
      </c>
      <c r="G112" s="335" t="str">
        <f>IF(AND(E112&gt;0,F112&gt;0),(F112*E112),"")</f>
        <v/>
      </c>
      <c r="H112" s="334">
        <v>0</v>
      </c>
      <c r="I112" s="384" t="str">
        <f>IF(AND(G112&gt;0,H112&gt;0),H112/G112,"")</f>
        <v/>
      </c>
      <c r="J112" s="370">
        <v>0</v>
      </c>
      <c r="K112" s="385" t="str">
        <f>IF(AND(I112&gt;0,J112&gt;0),I112-J112,"")</f>
        <v/>
      </c>
      <c r="L112" s="2"/>
      <c r="M112" s="20"/>
      <c r="N112" s="20"/>
      <c r="O112" s="20"/>
      <c r="P112" s="19"/>
      <c r="R112" s="20"/>
    </row>
    <row r="113" spans="1:36">
      <c r="A113" s="3"/>
      <c r="B113" s="731"/>
      <c r="C113" s="367" t="s">
        <v>312</v>
      </c>
      <c r="D113" s="468">
        <v>0</v>
      </c>
      <c r="E113" s="469">
        <f>IF(ISBLANK(D113),"",D113*30)</f>
        <v>0</v>
      </c>
      <c r="F113" s="334">
        <v>0</v>
      </c>
      <c r="G113" s="335" t="str">
        <f>IF(AND(E113&gt;0,F113&gt;0),(F113*E113),"")</f>
        <v/>
      </c>
      <c r="H113" s="334">
        <v>0</v>
      </c>
      <c r="I113" s="465" t="str">
        <f>IF(AND(G113&gt;0,H113&gt;0),H113/G113,"")</f>
        <v/>
      </c>
      <c r="J113" s="370">
        <v>0</v>
      </c>
      <c r="K113" s="385" t="str">
        <f>IF(AND(I113&gt;0,J113&gt;0),I113-J113,"")</f>
        <v/>
      </c>
      <c r="L113" s="2"/>
      <c r="M113" s="20"/>
      <c r="N113" s="20"/>
      <c r="O113" s="20"/>
      <c r="P113" s="19"/>
    </row>
    <row r="114" spans="1:36">
      <c r="A114" s="3"/>
      <c r="B114" s="731"/>
      <c r="C114" s="367"/>
      <c r="D114" s="368"/>
      <c r="E114" s="466" t="str">
        <f>IF(ISBLANK(D114),"",D114*30)</f>
        <v/>
      </c>
      <c r="F114" s="334"/>
      <c r="G114" s="335" t="str">
        <f>IF(AND(E114&gt;0,F114&gt;0),(F114*E114),"")</f>
        <v/>
      </c>
      <c r="H114" s="334"/>
      <c r="I114" s="465" t="str">
        <f>IF(AND(G114&gt;0,H114&gt;0),H114/G114,"")</f>
        <v/>
      </c>
      <c r="J114" s="370"/>
      <c r="K114" s="385" t="str">
        <f>IF(AND(I114&gt;0,J114&gt;0),I114-J114,"")</f>
        <v/>
      </c>
      <c r="L114" s="2"/>
      <c r="M114" s="20"/>
      <c r="N114" s="20"/>
      <c r="O114" s="20"/>
      <c r="P114" s="19"/>
      <c r="R114" s="20"/>
    </row>
    <row r="115" spans="1:36" ht="15.75" thickBot="1">
      <c r="A115" s="3"/>
      <c r="B115" s="732"/>
      <c r="C115" s="371"/>
      <c r="D115" s="372"/>
      <c r="E115" s="369" t="str">
        <f>IF(ISBLANK(D115),"",D115*4)</f>
        <v/>
      </c>
      <c r="F115" s="336"/>
      <c r="G115" s="335" t="str">
        <f>IF(AND(E115&gt;0,F115&gt;0),(F115*E115),"")</f>
        <v/>
      </c>
      <c r="H115" s="336"/>
      <c r="I115" s="384" t="str">
        <f>IF(AND(G115&gt;0,H115&gt;0),H115/G115,"")</f>
        <v/>
      </c>
      <c r="J115" s="373"/>
      <c r="K115" s="385" t="str">
        <f>IF(AND(I115&gt;0,J115&gt;0),I115-J115,"")</f>
        <v/>
      </c>
      <c r="L115" s="2"/>
      <c r="M115" s="20"/>
      <c r="N115" s="20"/>
      <c r="O115" s="20"/>
      <c r="P115" s="19"/>
      <c r="R115" s="20"/>
    </row>
    <row r="116" spans="1:36">
      <c r="A116" s="3"/>
      <c r="B116" s="3"/>
      <c r="C116" s="3"/>
      <c r="D116" s="3"/>
      <c r="E116" s="3"/>
      <c r="F116" s="3"/>
      <c r="G116" s="2"/>
      <c r="H116" s="2"/>
      <c r="I116" s="2"/>
      <c r="J116" s="3"/>
      <c r="K116" s="3"/>
      <c r="L116" s="2"/>
      <c r="M116" s="2"/>
      <c r="N116" s="20"/>
      <c r="O116" s="20"/>
      <c r="P116" s="20"/>
      <c r="Q116" s="19"/>
      <c r="S116" s="20"/>
    </row>
    <row r="117" spans="1:36" ht="15.75" thickBot="1">
      <c r="A117" s="3"/>
      <c r="B117" s="3"/>
      <c r="C117" s="3"/>
      <c r="D117" s="3"/>
      <c r="E117" s="3"/>
      <c r="F117" s="3"/>
      <c r="G117" s="3"/>
      <c r="H117" s="3"/>
      <c r="I117" s="2"/>
      <c r="J117" s="108"/>
      <c r="K117" s="108"/>
      <c r="L117" s="3"/>
      <c r="M117" s="3"/>
    </row>
    <row r="118" spans="1:36" ht="19.5" thickBot="1">
      <c r="A118" s="3"/>
      <c r="B118" s="235" t="s">
        <v>372</v>
      </c>
      <c r="C118" s="128"/>
      <c r="D118" s="128"/>
      <c r="E118" s="129"/>
      <c r="F118" s="129"/>
      <c r="G118" s="129"/>
      <c r="H118" s="244"/>
      <c r="I118" s="236"/>
      <c r="J118" s="314"/>
      <c r="K118" s="315" t="s">
        <v>353</v>
      </c>
      <c r="L118" s="129"/>
      <c r="M118" s="316"/>
      <c r="N118" s="317"/>
      <c r="O118" s="317"/>
      <c r="P118" s="375"/>
      <c r="Q118" s="36"/>
    </row>
    <row r="119" spans="1:36" s="530" customFormat="1" ht="15.75" thickBot="1">
      <c r="A119" s="529"/>
      <c r="B119" s="529"/>
      <c r="C119" s="529"/>
      <c r="D119" s="529"/>
      <c r="E119" s="529"/>
      <c r="F119" s="529"/>
      <c r="G119" s="529"/>
      <c r="H119" s="529" t="s">
        <v>493</v>
      </c>
      <c r="I119" s="529" t="s">
        <v>462</v>
      </c>
      <c r="J119" s="529" t="s">
        <v>463</v>
      </c>
      <c r="K119" s="529" t="s">
        <v>464</v>
      </c>
      <c r="L119" s="529" t="s">
        <v>465</v>
      </c>
      <c r="M119" s="529" t="s">
        <v>466</v>
      </c>
      <c r="N119" s="529" t="s">
        <v>467</v>
      </c>
      <c r="O119" s="529" t="s">
        <v>468</v>
      </c>
      <c r="P119" s="529" t="s">
        <v>479</v>
      </c>
      <c r="Q119" s="529" t="s">
        <v>480</v>
      </c>
      <c r="R119" s="529" t="s">
        <v>481</v>
      </c>
      <c r="S119" s="529" t="s">
        <v>482</v>
      </c>
      <c r="AH119" s="531"/>
      <c r="AI119" s="531"/>
      <c r="AJ119" s="531"/>
    </row>
    <row r="120" spans="1:36">
      <c r="A120" s="3"/>
      <c r="B120" s="712" t="s">
        <v>375</v>
      </c>
      <c r="C120" s="713"/>
      <c r="D120" s="714"/>
      <c r="E120" s="300" t="s">
        <v>324</v>
      </c>
      <c r="F120" s="261" t="s">
        <v>333</v>
      </c>
      <c r="G120" s="239"/>
      <c r="H120" s="458" t="str">
        <f>C30</f>
        <v>P1</v>
      </c>
      <c r="I120" s="458" t="str">
        <f t="shared" ref="I120:S120" si="13">D30</f>
        <v>P2</v>
      </c>
      <c r="J120" s="458" t="str">
        <f t="shared" si="13"/>
        <v>P3</v>
      </c>
      <c r="K120" s="458" t="str">
        <f t="shared" si="13"/>
        <v>P4</v>
      </c>
      <c r="L120" s="458" t="str">
        <f t="shared" si="13"/>
        <v>P5</v>
      </c>
      <c r="M120" s="458" t="str">
        <f t="shared" si="13"/>
        <v>P6</v>
      </c>
      <c r="N120" s="458" t="str">
        <f t="shared" si="13"/>
        <v>P7</v>
      </c>
      <c r="O120" s="458" t="str">
        <f t="shared" si="13"/>
        <v>P8</v>
      </c>
      <c r="P120" s="458" t="str">
        <f t="shared" si="13"/>
        <v>P9</v>
      </c>
      <c r="Q120" s="458" t="str">
        <f t="shared" si="13"/>
        <v>P10</v>
      </c>
      <c r="R120" s="458" t="str">
        <f t="shared" si="13"/>
        <v>P11</v>
      </c>
      <c r="S120" s="458" t="str">
        <f t="shared" si="13"/>
        <v>P12</v>
      </c>
      <c r="T120" s="64"/>
    </row>
    <row r="121" spans="1:36" ht="3" customHeight="1">
      <c r="A121" s="3"/>
      <c r="B121" s="401"/>
      <c r="C121" s="402"/>
      <c r="D121" s="402"/>
      <c r="E121" s="403"/>
      <c r="F121" s="404"/>
      <c r="G121" s="405"/>
      <c r="H121" s="406"/>
      <c r="I121" s="406"/>
      <c r="J121" s="406"/>
      <c r="K121" s="406"/>
      <c r="L121" s="406"/>
      <c r="M121" s="406"/>
      <c r="N121" s="406"/>
      <c r="O121" s="406"/>
      <c r="P121" s="406"/>
      <c r="Q121" s="406"/>
      <c r="R121" s="406"/>
      <c r="S121" s="407"/>
      <c r="T121" s="64"/>
    </row>
    <row r="122" spans="1:36" ht="15" customHeight="1">
      <c r="A122" s="676" t="s">
        <v>357</v>
      </c>
      <c r="B122" s="680" t="s">
        <v>494</v>
      </c>
      <c r="C122" s="681"/>
      <c r="D122" s="682"/>
      <c r="E122" s="689" t="s">
        <v>448</v>
      </c>
      <c r="F122" s="687" t="s">
        <v>425</v>
      </c>
      <c r="G122" s="241" t="s">
        <v>92</v>
      </c>
      <c r="H122" s="237"/>
      <c r="I122" s="237">
        <v>871071</v>
      </c>
      <c r="J122" s="237">
        <v>0</v>
      </c>
      <c r="K122" s="237">
        <v>0</v>
      </c>
      <c r="L122" s="237"/>
      <c r="M122" s="237"/>
      <c r="N122" s="237"/>
      <c r="O122" s="237"/>
      <c r="P122" s="237"/>
      <c r="Q122" s="237"/>
      <c r="R122" s="237"/>
      <c r="S122" s="237"/>
      <c r="T122" s="439" t="str">
        <f t="shared" ref="T122:T141" si="14">G122</f>
        <v>Target</v>
      </c>
    </row>
    <row r="123" spans="1:36">
      <c r="A123" s="676"/>
      <c r="B123" s="683"/>
      <c r="C123" s="681"/>
      <c r="D123" s="682"/>
      <c r="E123" s="690"/>
      <c r="F123" s="688"/>
      <c r="G123" s="241" t="s">
        <v>93</v>
      </c>
      <c r="H123" s="237"/>
      <c r="I123" s="237">
        <v>771553</v>
      </c>
      <c r="J123" s="237">
        <v>0</v>
      </c>
      <c r="K123" s="237">
        <v>0</v>
      </c>
      <c r="L123" s="237"/>
      <c r="M123" s="237"/>
      <c r="N123" s="237"/>
      <c r="O123" s="237"/>
      <c r="P123" s="237"/>
      <c r="Q123" s="237"/>
      <c r="R123" s="237"/>
      <c r="S123" s="237"/>
      <c r="T123" s="439" t="str">
        <f t="shared" si="14"/>
        <v xml:space="preserve">Achieved </v>
      </c>
    </row>
    <row r="124" spans="1:36" ht="15" customHeight="1">
      <c r="A124" s="676"/>
      <c r="B124" s="697" t="s">
        <v>500</v>
      </c>
      <c r="C124" s="698"/>
      <c r="D124" s="699"/>
      <c r="E124" s="734">
        <v>1.2</v>
      </c>
      <c r="F124" s="733" t="s">
        <v>425</v>
      </c>
      <c r="G124" s="241" t="s">
        <v>92</v>
      </c>
      <c r="H124" s="459"/>
      <c r="I124" s="459">
        <v>809876</v>
      </c>
      <c r="J124" s="459">
        <v>0</v>
      </c>
      <c r="K124" s="459">
        <v>0</v>
      </c>
      <c r="L124" s="459"/>
      <c r="M124" s="459"/>
      <c r="N124" s="459"/>
      <c r="O124" s="459"/>
      <c r="P124" s="459"/>
      <c r="Q124" s="459"/>
      <c r="R124" s="459"/>
      <c r="S124" s="237"/>
      <c r="T124" s="440" t="str">
        <f t="shared" si="14"/>
        <v>Target</v>
      </c>
    </row>
    <row r="125" spans="1:36">
      <c r="A125" s="676"/>
      <c r="B125" s="700"/>
      <c r="C125" s="698"/>
      <c r="D125" s="699"/>
      <c r="E125" s="734"/>
      <c r="F125" s="733"/>
      <c r="G125" s="241" t="s">
        <v>93</v>
      </c>
      <c r="H125" s="459"/>
      <c r="I125" s="459">
        <v>788516</v>
      </c>
      <c r="J125" s="459">
        <v>0</v>
      </c>
      <c r="K125" s="459">
        <v>0</v>
      </c>
      <c r="L125" s="459"/>
      <c r="M125" s="459"/>
      <c r="N125" s="459"/>
      <c r="O125" s="459"/>
      <c r="P125" s="459"/>
      <c r="Q125" s="459"/>
      <c r="R125" s="459"/>
      <c r="S125" s="237"/>
      <c r="T125" s="440" t="str">
        <f t="shared" si="14"/>
        <v xml:space="preserve">Achieved </v>
      </c>
    </row>
    <row r="126" spans="1:36" ht="15" customHeight="1">
      <c r="A126" s="676"/>
      <c r="B126" s="691"/>
      <c r="C126" s="692"/>
      <c r="D126" s="693"/>
      <c r="E126" s="689"/>
      <c r="F126" s="687"/>
      <c r="G126" s="241"/>
      <c r="H126" s="237"/>
      <c r="I126" s="237"/>
      <c r="J126" s="237"/>
      <c r="K126" s="237"/>
      <c r="L126" s="237"/>
      <c r="M126" s="237"/>
      <c r="N126" s="237"/>
      <c r="O126" s="237"/>
      <c r="P126" s="237"/>
      <c r="Q126" s="237"/>
      <c r="R126" s="237"/>
      <c r="S126" s="237"/>
      <c r="T126" s="439">
        <f t="shared" si="14"/>
        <v>0</v>
      </c>
    </row>
    <row r="127" spans="1:36">
      <c r="A127" s="676"/>
      <c r="B127" s="694"/>
      <c r="C127" s="692"/>
      <c r="D127" s="693"/>
      <c r="E127" s="690"/>
      <c r="F127" s="688"/>
      <c r="G127" s="241"/>
      <c r="H127" s="237"/>
      <c r="I127" s="237"/>
      <c r="J127" s="237"/>
      <c r="K127" s="237"/>
      <c r="L127" s="237"/>
      <c r="M127" s="237"/>
      <c r="N127" s="237"/>
      <c r="O127" s="237"/>
      <c r="P127" s="237"/>
      <c r="Q127" s="237"/>
      <c r="R127" s="237"/>
      <c r="S127" s="237"/>
      <c r="T127" s="439">
        <f t="shared" si="14"/>
        <v>0</v>
      </c>
    </row>
    <row r="128" spans="1:36" ht="15" customHeight="1">
      <c r="A128" s="3"/>
      <c r="B128" s="697"/>
      <c r="C128" s="698"/>
      <c r="D128" s="699"/>
      <c r="E128" s="734"/>
      <c r="F128" s="733"/>
      <c r="G128" s="240"/>
      <c r="H128" s="459"/>
      <c r="I128" s="459"/>
      <c r="J128" s="459"/>
      <c r="K128" s="459"/>
      <c r="L128" s="459"/>
      <c r="M128" s="459"/>
      <c r="N128" s="459"/>
      <c r="O128" s="459"/>
      <c r="P128" s="459"/>
      <c r="Q128" s="459"/>
      <c r="R128" s="459"/>
      <c r="S128" s="459"/>
      <c r="T128" s="440">
        <f t="shared" si="14"/>
        <v>0</v>
      </c>
    </row>
    <row r="129" spans="1:20">
      <c r="A129" s="3"/>
      <c r="B129" s="700"/>
      <c r="C129" s="698"/>
      <c r="D129" s="699"/>
      <c r="E129" s="734"/>
      <c r="F129" s="733"/>
      <c r="G129" s="240"/>
      <c r="H129" s="459"/>
      <c r="I129" s="459"/>
      <c r="J129" s="459"/>
      <c r="K129" s="459"/>
      <c r="L129" s="459"/>
      <c r="M129" s="459"/>
      <c r="N129" s="459"/>
      <c r="O129" s="459"/>
      <c r="P129" s="459"/>
      <c r="Q129" s="459"/>
      <c r="R129" s="459"/>
      <c r="S129" s="459"/>
      <c r="T129" s="440">
        <f t="shared" si="14"/>
        <v>0</v>
      </c>
    </row>
    <row r="130" spans="1:20" ht="15" customHeight="1">
      <c r="A130" s="3"/>
      <c r="B130" s="680"/>
      <c r="C130" s="681"/>
      <c r="D130" s="682"/>
      <c r="E130" s="689"/>
      <c r="F130" s="687"/>
      <c r="G130" s="241"/>
      <c r="H130" s="520"/>
      <c r="I130" s="520"/>
      <c r="J130" s="520"/>
      <c r="K130" s="237"/>
      <c r="L130" s="522"/>
      <c r="M130" s="237"/>
      <c r="N130" s="467"/>
      <c r="O130" s="467"/>
      <c r="P130" s="467"/>
      <c r="Q130" s="237"/>
      <c r="R130" s="237"/>
      <c r="S130" s="298"/>
      <c r="T130" s="439">
        <f t="shared" si="14"/>
        <v>0</v>
      </c>
    </row>
    <row r="131" spans="1:20">
      <c r="A131" s="3"/>
      <c r="B131" s="683"/>
      <c r="C131" s="681"/>
      <c r="D131" s="682"/>
      <c r="E131" s="690"/>
      <c r="F131" s="688"/>
      <c r="G131" s="241"/>
      <c r="H131" s="520"/>
      <c r="I131" s="520"/>
      <c r="J131" s="520"/>
      <c r="K131" s="237"/>
      <c r="L131" s="522"/>
      <c r="M131" s="237"/>
      <c r="N131" s="467"/>
      <c r="O131" s="467"/>
      <c r="P131" s="467"/>
      <c r="Q131" s="237"/>
      <c r="R131" s="237"/>
      <c r="S131" s="298"/>
      <c r="T131" s="439">
        <f t="shared" si="14"/>
        <v>0</v>
      </c>
    </row>
    <row r="132" spans="1:20" ht="15" customHeight="1">
      <c r="A132" s="3"/>
      <c r="B132" s="697"/>
      <c r="C132" s="698"/>
      <c r="D132" s="699"/>
      <c r="E132" s="734"/>
      <c r="F132" s="733"/>
      <c r="G132" s="240"/>
      <c r="H132" s="459"/>
      <c r="I132" s="459"/>
      <c r="J132" s="459"/>
      <c r="K132" s="459"/>
      <c r="L132" s="459"/>
      <c r="M132" s="459"/>
      <c r="N132" s="459"/>
      <c r="O132" s="459"/>
      <c r="P132" s="459"/>
      <c r="Q132" s="459"/>
      <c r="R132" s="459"/>
      <c r="S132" s="459"/>
      <c r="T132" s="440">
        <f t="shared" si="14"/>
        <v>0</v>
      </c>
    </row>
    <row r="133" spans="1:20">
      <c r="A133" s="3"/>
      <c r="B133" s="700"/>
      <c r="C133" s="698"/>
      <c r="D133" s="699"/>
      <c r="E133" s="734"/>
      <c r="F133" s="733"/>
      <c r="G133" s="240"/>
      <c r="H133" s="459"/>
      <c r="I133" s="459"/>
      <c r="J133" s="459"/>
      <c r="K133" s="459"/>
      <c r="L133" s="459"/>
      <c r="M133" s="459"/>
      <c r="N133" s="459"/>
      <c r="O133" s="459"/>
      <c r="P133" s="459"/>
      <c r="Q133" s="459"/>
      <c r="R133" s="459"/>
      <c r="S133" s="459"/>
      <c r="T133" s="440">
        <f t="shared" si="14"/>
        <v>0</v>
      </c>
    </row>
    <row r="134" spans="1:20">
      <c r="A134" s="3"/>
      <c r="B134" s="680"/>
      <c r="C134" s="681"/>
      <c r="D134" s="682"/>
      <c r="E134" s="689"/>
      <c r="F134" s="687"/>
      <c r="G134" s="241"/>
      <c r="H134" s="237"/>
      <c r="I134" s="237"/>
      <c r="J134" s="237"/>
      <c r="K134" s="257"/>
      <c r="L134" s="237"/>
      <c r="M134" s="237"/>
      <c r="N134" s="237"/>
      <c r="O134" s="237"/>
      <c r="P134" s="237"/>
      <c r="Q134" s="237"/>
      <c r="R134" s="237"/>
      <c r="S134" s="298"/>
      <c r="T134" s="439">
        <f t="shared" si="14"/>
        <v>0</v>
      </c>
    </row>
    <row r="135" spans="1:20">
      <c r="A135" s="3"/>
      <c r="B135" s="683"/>
      <c r="C135" s="681"/>
      <c r="D135" s="682"/>
      <c r="E135" s="690"/>
      <c r="F135" s="688"/>
      <c r="G135" s="241"/>
      <c r="H135" s="237"/>
      <c r="I135" s="237"/>
      <c r="J135" s="237"/>
      <c r="K135" s="257"/>
      <c r="L135" s="237"/>
      <c r="M135" s="237"/>
      <c r="N135" s="237"/>
      <c r="O135" s="237"/>
      <c r="P135" s="237"/>
      <c r="Q135" s="237"/>
      <c r="R135" s="237"/>
      <c r="S135" s="298"/>
      <c r="T135" s="439">
        <f t="shared" si="14"/>
        <v>0</v>
      </c>
    </row>
    <row r="136" spans="1:20" ht="14.25" customHeight="1">
      <c r="A136" s="3"/>
      <c r="B136" s="697"/>
      <c r="C136" s="698"/>
      <c r="D136" s="699"/>
      <c r="E136" s="734"/>
      <c r="F136" s="725"/>
      <c r="G136" s="240"/>
      <c r="H136" s="459"/>
      <c r="I136" s="459"/>
      <c r="J136" s="459"/>
      <c r="K136" s="459"/>
      <c r="L136" s="459"/>
      <c r="M136" s="459"/>
      <c r="N136" s="459"/>
      <c r="O136" s="459"/>
      <c r="P136" s="459"/>
      <c r="Q136" s="459"/>
      <c r="R136" s="459"/>
      <c r="S136" s="459"/>
      <c r="T136" s="440">
        <f t="shared" si="14"/>
        <v>0</v>
      </c>
    </row>
    <row r="137" spans="1:20">
      <c r="A137" s="3"/>
      <c r="B137" s="700"/>
      <c r="C137" s="698"/>
      <c r="D137" s="699"/>
      <c r="E137" s="734"/>
      <c r="F137" s="725"/>
      <c r="G137" s="240"/>
      <c r="H137" s="459"/>
      <c r="I137" s="459"/>
      <c r="J137" s="459"/>
      <c r="K137" s="459"/>
      <c r="L137" s="459"/>
      <c r="M137" s="459"/>
      <c r="N137" s="459"/>
      <c r="O137" s="459"/>
      <c r="P137" s="459"/>
      <c r="Q137" s="459"/>
      <c r="R137" s="459"/>
      <c r="S137" s="459"/>
      <c r="T137" s="440">
        <f t="shared" si="14"/>
        <v>0</v>
      </c>
    </row>
    <row r="138" spans="1:20" ht="14.25" customHeight="1">
      <c r="A138" s="3"/>
      <c r="B138" s="680"/>
      <c r="C138" s="681"/>
      <c r="D138" s="682"/>
      <c r="E138" s="689"/>
      <c r="F138" s="739"/>
      <c r="G138" s="241"/>
      <c r="H138" s="237"/>
      <c r="I138" s="237"/>
      <c r="J138" s="237"/>
      <c r="K138" s="237"/>
      <c r="L138" s="237"/>
      <c r="M138" s="237"/>
      <c r="N138" s="237"/>
      <c r="O138" s="237"/>
      <c r="P138" s="237"/>
      <c r="Q138" s="237"/>
      <c r="R138" s="237"/>
      <c r="S138" s="298"/>
      <c r="T138" s="439">
        <f t="shared" si="14"/>
        <v>0</v>
      </c>
    </row>
    <row r="139" spans="1:20">
      <c r="A139" s="3"/>
      <c r="B139" s="683"/>
      <c r="C139" s="681"/>
      <c r="D139" s="682"/>
      <c r="E139" s="690"/>
      <c r="F139" s="740"/>
      <c r="G139" s="241"/>
      <c r="H139" s="237"/>
      <c r="I139" s="237"/>
      <c r="J139" s="237"/>
      <c r="K139" s="237"/>
      <c r="L139" s="237"/>
      <c r="M139" s="237"/>
      <c r="N139" s="237"/>
      <c r="O139" s="237"/>
      <c r="P139" s="237"/>
      <c r="Q139" s="237"/>
      <c r="R139" s="237"/>
      <c r="S139" s="298"/>
      <c r="T139" s="439">
        <f t="shared" si="14"/>
        <v>0</v>
      </c>
    </row>
    <row r="140" spans="1:20" ht="14.25" customHeight="1">
      <c r="A140" s="3"/>
      <c r="B140" s="700"/>
      <c r="C140" s="698"/>
      <c r="D140" s="699"/>
      <c r="E140" s="734"/>
      <c r="F140" s="725"/>
      <c r="G140" s="240"/>
      <c r="H140" s="459"/>
      <c r="I140" s="459"/>
      <c r="J140" s="459"/>
      <c r="K140" s="459"/>
      <c r="L140" s="459"/>
      <c r="M140" s="459"/>
      <c r="N140" s="459"/>
      <c r="O140" s="459"/>
      <c r="P140" s="459"/>
      <c r="Q140" s="459"/>
      <c r="R140" s="459"/>
      <c r="S140" s="459"/>
      <c r="T140" s="440">
        <f t="shared" si="14"/>
        <v>0</v>
      </c>
    </row>
    <row r="141" spans="1:20" ht="15.75" thickBot="1">
      <c r="A141" s="3"/>
      <c r="B141" s="749"/>
      <c r="C141" s="750"/>
      <c r="D141" s="751"/>
      <c r="E141" s="741"/>
      <c r="F141" s="742"/>
      <c r="G141" s="299"/>
      <c r="H141" s="459"/>
      <c r="I141" s="459"/>
      <c r="J141" s="459"/>
      <c r="K141" s="459"/>
      <c r="L141" s="459"/>
      <c r="M141" s="459"/>
      <c r="N141" s="459"/>
      <c r="O141" s="459"/>
      <c r="P141" s="459"/>
      <c r="Q141" s="459"/>
      <c r="R141" s="459"/>
      <c r="S141" s="459"/>
      <c r="T141" s="440">
        <f t="shared" si="14"/>
        <v>0</v>
      </c>
    </row>
    <row r="142" spans="1:20">
      <c r="A142" s="3"/>
      <c r="B142" s="3"/>
      <c r="C142" s="3"/>
      <c r="D142" s="3"/>
      <c r="E142" s="3"/>
      <c r="F142" s="3"/>
      <c r="G142" s="2"/>
      <c r="H142" s="3"/>
      <c r="I142" s="3"/>
      <c r="J142" s="3"/>
      <c r="K142" s="3"/>
      <c r="L142" s="3"/>
      <c r="M142" s="3"/>
      <c r="N142" s="3"/>
      <c r="O142" s="3"/>
      <c r="R142" s="36"/>
      <c r="S142" s="36"/>
    </row>
    <row r="143" spans="1:20">
      <c r="A143" s="3"/>
      <c r="B143" s="3"/>
      <c r="C143" s="3"/>
      <c r="D143" s="3"/>
      <c r="E143" s="3"/>
      <c r="F143" s="3"/>
      <c r="G143" s="2"/>
      <c r="H143" s="3"/>
      <c r="I143" s="3"/>
      <c r="J143" s="3"/>
      <c r="K143" s="3"/>
      <c r="L143" s="3"/>
      <c r="M143" s="3"/>
      <c r="N143" s="3"/>
      <c r="O143" s="3"/>
      <c r="R143" s="36"/>
      <c r="S143" s="36"/>
    </row>
    <row r="144" spans="1:20">
      <c r="A144" s="3"/>
      <c r="B144" s="3"/>
      <c r="C144" s="3"/>
      <c r="D144" s="3"/>
      <c r="E144" s="3"/>
      <c r="F144" s="3"/>
      <c r="G144" s="2"/>
      <c r="H144" s="3"/>
      <c r="I144" s="3"/>
      <c r="J144" s="3"/>
      <c r="K144" s="3"/>
      <c r="L144" s="3"/>
      <c r="M144" s="3"/>
      <c r="N144" s="3"/>
      <c r="O144" s="3"/>
      <c r="R144" s="36"/>
      <c r="S144" s="36"/>
    </row>
    <row r="145" spans="1:21" ht="16.5" thickBot="1">
      <c r="A145" s="3"/>
      <c r="B145" s="302"/>
      <c r="C145" s="3"/>
      <c r="D145" s="3"/>
      <c r="E145" s="3"/>
      <c r="F145" s="3"/>
      <c r="G145" s="2"/>
      <c r="H145" s="3"/>
      <c r="I145" s="3"/>
      <c r="J145" s="3"/>
      <c r="K145" s="3"/>
      <c r="L145" s="3"/>
      <c r="M145" s="3"/>
      <c r="N145" s="3"/>
      <c r="O145" s="3"/>
      <c r="R145" s="36"/>
      <c r="S145" s="36"/>
    </row>
    <row r="146" spans="1:21">
      <c r="A146" s="3"/>
      <c r="B146" s="3" t="s">
        <v>381</v>
      </c>
      <c r="C146" s="3"/>
      <c r="D146" s="3"/>
      <c r="E146" s="300" t="s">
        <v>324</v>
      </c>
      <c r="F146" s="261" t="s">
        <v>333</v>
      </c>
      <c r="G146" s="239"/>
      <c r="H146" s="358" t="str">
        <f t="shared" ref="H146:S146" si="15">C30</f>
        <v>P1</v>
      </c>
      <c r="I146" s="358" t="str">
        <f t="shared" si="15"/>
        <v>P2</v>
      </c>
      <c r="J146" s="358" t="str">
        <f t="shared" si="15"/>
        <v>P3</v>
      </c>
      <c r="K146" s="358" t="str">
        <f t="shared" si="15"/>
        <v>P4</v>
      </c>
      <c r="L146" s="358" t="str">
        <f t="shared" si="15"/>
        <v>P5</v>
      </c>
      <c r="M146" s="358" t="str">
        <f t="shared" si="15"/>
        <v>P6</v>
      </c>
      <c r="N146" s="358" t="str">
        <f t="shared" si="15"/>
        <v>P7</v>
      </c>
      <c r="O146" s="358" t="str">
        <f t="shared" si="15"/>
        <v>P8</v>
      </c>
      <c r="P146" s="358" t="str">
        <f t="shared" si="15"/>
        <v>P9</v>
      </c>
      <c r="Q146" s="358" t="str">
        <f t="shared" si="15"/>
        <v>P10</v>
      </c>
      <c r="R146" s="358" t="str">
        <f t="shared" si="15"/>
        <v>P11</v>
      </c>
      <c r="S146" s="358" t="str">
        <f t="shared" si="15"/>
        <v>P12</v>
      </c>
      <c r="T146" s="36"/>
      <c r="U146" s="36"/>
    </row>
    <row r="147" spans="1:21">
      <c r="A147" s="3"/>
      <c r="B147" s="743" t="str">
        <f>IF(ISBLANK(B122),"",(B122))</f>
        <v>Percentage of population in targeted areas sprayed with IRS in the last 12 months</v>
      </c>
      <c r="C147" s="744"/>
      <c r="D147" s="745"/>
      <c r="E147" s="738" t="str">
        <f>IF(ISBLANK(E122),"",(E122))</f>
        <v>1.1</v>
      </c>
      <c r="F147" s="737" t="str">
        <f>IF(ISBLANK(F122),"",(F122))</f>
        <v>YES</v>
      </c>
      <c r="G147" s="323" t="s">
        <v>92</v>
      </c>
      <c r="H147" s="382">
        <f t="shared" ref="H147:S147" si="16">H122</f>
        <v>0</v>
      </c>
      <c r="I147" s="382">
        <f t="shared" si="16"/>
        <v>871071</v>
      </c>
      <c r="J147" s="382">
        <f t="shared" si="16"/>
        <v>0</v>
      </c>
      <c r="K147" s="382">
        <f t="shared" si="16"/>
        <v>0</v>
      </c>
      <c r="L147" s="382">
        <f t="shared" si="16"/>
        <v>0</v>
      </c>
      <c r="M147" s="382">
        <f t="shared" si="16"/>
        <v>0</v>
      </c>
      <c r="N147" s="382">
        <f t="shared" ref="N147:O152" si="17">N122</f>
        <v>0</v>
      </c>
      <c r="O147" s="382">
        <f t="shared" si="17"/>
        <v>0</v>
      </c>
      <c r="P147" s="382">
        <f t="shared" si="16"/>
        <v>0</v>
      </c>
      <c r="Q147" s="382">
        <f t="shared" si="16"/>
        <v>0</v>
      </c>
      <c r="R147" s="382">
        <f t="shared" si="16"/>
        <v>0</v>
      </c>
      <c r="S147" s="382">
        <f t="shared" si="16"/>
        <v>0</v>
      </c>
      <c r="T147" s="36"/>
      <c r="U147" s="36"/>
    </row>
    <row r="148" spans="1:21" ht="15.75" thickBot="1">
      <c r="A148" s="3"/>
      <c r="B148" s="746"/>
      <c r="C148" s="747"/>
      <c r="D148" s="748"/>
      <c r="E148" s="738"/>
      <c r="F148" s="737"/>
      <c r="G148" s="130" t="s">
        <v>93</v>
      </c>
      <c r="H148" s="382">
        <f t="shared" ref="H148:K152" si="18">H123</f>
        <v>0</v>
      </c>
      <c r="I148" s="382">
        <f t="shared" si="18"/>
        <v>771553</v>
      </c>
      <c r="J148" s="382">
        <f t="shared" si="18"/>
        <v>0</v>
      </c>
      <c r="K148" s="382">
        <f t="shared" si="18"/>
        <v>0</v>
      </c>
      <c r="L148" s="382">
        <f t="shared" ref="L148:S148" si="19">L123</f>
        <v>0</v>
      </c>
      <c r="M148" s="382">
        <f t="shared" si="19"/>
        <v>0</v>
      </c>
      <c r="N148" s="382">
        <f t="shared" si="17"/>
        <v>0</v>
      </c>
      <c r="O148" s="382">
        <f t="shared" si="17"/>
        <v>0</v>
      </c>
      <c r="P148" s="382">
        <f t="shared" si="19"/>
        <v>0</v>
      </c>
      <c r="Q148" s="382">
        <f t="shared" si="19"/>
        <v>0</v>
      </c>
      <c r="R148" s="382">
        <f t="shared" si="19"/>
        <v>0</v>
      </c>
      <c r="S148" s="382">
        <f t="shared" si="19"/>
        <v>0</v>
      </c>
      <c r="T148" s="36"/>
      <c r="U148" s="36"/>
    </row>
    <row r="149" spans="1:21">
      <c r="A149" s="3"/>
      <c r="B149" s="743" t="str">
        <f>IF(ISBLANK(B124),"",(B124))</f>
        <v>Number of structures sprayed in targeted areas with IRS in the last 12 months</v>
      </c>
      <c r="C149" s="744"/>
      <c r="D149" s="745"/>
      <c r="E149" s="738">
        <f>IF(ISBLANK(E124),"",(E124))</f>
        <v>1.2</v>
      </c>
      <c r="F149" s="737" t="str">
        <f>IF(ISBLANK(F124),"",(F124))</f>
        <v>YES</v>
      </c>
      <c r="G149" s="238" t="s">
        <v>92</v>
      </c>
      <c r="H149" s="382">
        <f t="shared" si="18"/>
        <v>0</v>
      </c>
      <c r="I149" s="382">
        <f>I124</f>
        <v>809876</v>
      </c>
      <c r="J149" s="382">
        <f t="shared" si="18"/>
        <v>0</v>
      </c>
      <c r="K149" s="382">
        <f>K124</f>
        <v>0</v>
      </c>
      <c r="L149" s="382">
        <f t="shared" ref="L149:S149" si="20">L124</f>
        <v>0</v>
      </c>
      <c r="M149" s="382">
        <f t="shared" si="20"/>
        <v>0</v>
      </c>
      <c r="N149" s="382">
        <f t="shared" si="17"/>
        <v>0</v>
      </c>
      <c r="O149" s="382">
        <f t="shared" si="17"/>
        <v>0</v>
      </c>
      <c r="P149" s="382">
        <f t="shared" si="20"/>
        <v>0</v>
      </c>
      <c r="Q149" s="382">
        <f t="shared" si="20"/>
        <v>0</v>
      </c>
      <c r="R149" s="382">
        <f t="shared" si="20"/>
        <v>0</v>
      </c>
      <c r="S149" s="382">
        <f t="shared" si="20"/>
        <v>0</v>
      </c>
      <c r="T149" s="36"/>
      <c r="U149" s="36"/>
    </row>
    <row r="150" spans="1:21" ht="15.75" thickBot="1">
      <c r="A150" s="3"/>
      <c r="B150" s="746"/>
      <c r="C150" s="747"/>
      <c r="D150" s="748"/>
      <c r="E150" s="738"/>
      <c r="F150" s="737"/>
      <c r="G150" s="238" t="s">
        <v>93</v>
      </c>
      <c r="H150" s="382">
        <f t="shared" si="18"/>
        <v>0</v>
      </c>
      <c r="I150" s="382">
        <f t="shared" si="18"/>
        <v>788516</v>
      </c>
      <c r="J150" s="382">
        <f t="shared" si="18"/>
        <v>0</v>
      </c>
      <c r="K150" s="382">
        <f t="shared" si="18"/>
        <v>0</v>
      </c>
      <c r="L150" s="382">
        <f t="shared" ref="L150:S150" si="21">L125</f>
        <v>0</v>
      </c>
      <c r="M150" s="382">
        <f t="shared" si="21"/>
        <v>0</v>
      </c>
      <c r="N150" s="382">
        <f t="shared" si="17"/>
        <v>0</v>
      </c>
      <c r="O150" s="382">
        <f t="shared" si="17"/>
        <v>0</v>
      </c>
      <c r="P150" s="382">
        <f t="shared" si="21"/>
        <v>0</v>
      </c>
      <c r="Q150" s="382">
        <f t="shared" si="21"/>
        <v>0</v>
      </c>
      <c r="R150" s="382">
        <f t="shared" si="21"/>
        <v>0</v>
      </c>
      <c r="S150" s="382">
        <f t="shared" si="21"/>
        <v>0</v>
      </c>
      <c r="T150" s="36"/>
      <c r="U150" s="36"/>
    </row>
    <row r="151" spans="1:21">
      <c r="A151" s="3"/>
      <c r="B151" s="743" t="str">
        <f>IF(ISBLANK(B126),"",(B126))</f>
        <v/>
      </c>
      <c r="C151" s="744"/>
      <c r="D151" s="745"/>
      <c r="E151" s="738" t="str">
        <f>IF(ISBLANK(E126),"",(E126))</f>
        <v/>
      </c>
      <c r="F151" s="737" t="str">
        <f>IF(ISBLANK(F126),"",(F126))</f>
        <v/>
      </c>
      <c r="G151" s="130" t="s">
        <v>92</v>
      </c>
      <c r="H151" s="382">
        <f t="shared" si="18"/>
        <v>0</v>
      </c>
      <c r="I151" s="382">
        <f t="shared" si="18"/>
        <v>0</v>
      </c>
      <c r="J151" s="382">
        <f t="shared" si="18"/>
        <v>0</v>
      </c>
      <c r="K151" s="382">
        <f t="shared" si="18"/>
        <v>0</v>
      </c>
      <c r="L151" s="382">
        <f t="shared" ref="L151:S151" si="22">L126</f>
        <v>0</v>
      </c>
      <c r="M151" s="382">
        <f t="shared" si="22"/>
        <v>0</v>
      </c>
      <c r="N151" s="382">
        <f t="shared" si="17"/>
        <v>0</v>
      </c>
      <c r="O151" s="382">
        <f t="shared" si="17"/>
        <v>0</v>
      </c>
      <c r="P151" s="382">
        <f t="shared" si="22"/>
        <v>0</v>
      </c>
      <c r="Q151" s="382">
        <f t="shared" si="22"/>
        <v>0</v>
      </c>
      <c r="R151" s="382">
        <f t="shared" si="22"/>
        <v>0</v>
      </c>
      <c r="S151" s="382">
        <f t="shared" si="22"/>
        <v>0</v>
      </c>
      <c r="T151" s="36"/>
      <c r="U151" s="36"/>
    </row>
    <row r="152" spans="1:21" ht="15.75" thickBot="1">
      <c r="A152" s="3"/>
      <c r="B152" s="746"/>
      <c r="C152" s="747"/>
      <c r="D152" s="748"/>
      <c r="E152" s="738"/>
      <c r="F152" s="737"/>
      <c r="G152" s="131" t="s">
        <v>93</v>
      </c>
      <c r="H152" s="383">
        <f t="shared" si="18"/>
        <v>0</v>
      </c>
      <c r="I152" s="383">
        <f t="shared" si="18"/>
        <v>0</v>
      </c>
      <c r="J152" s="383">
        <f t="shared" si="18"/>
        <v>0</v>
      </c>
      <c r="K152" s="383">
        <f t="shared" si="18"/>
        <v>0</v>
      </c>
      <c r="L152" s="382">
        <f t="shared" ref="L152:S152" si="23">L127</f>
        <v>0</v>
      </c>
      <c r="M152" s="382">
        <f t="shared" si="23"/>
        <v>0</v>
      </c>
      <c r="N152" s="382">
        <f t="shared" si="17"/>
        <v>0</v>
      </c>
      <c r="O152" s="382">
        <f t="shared" si="17"/>
        <v>0</v>
      </c>
      <c r="P152" s="382">
        <f t="shared" si="23"/>
        <v>0</v>
      </c>
      <c r="Q152" s="382">
        <f t="shared" si="23"/>
        <v>0</v>
      </c>
      <c r="R152" s="382">
        <f t="shared" si="23"/>
        <v>0</v>
      </c>
      <c r="S152" s="382">
        <f t="shared" si="23"/>
        <v>0</v>
      </c>
      <c r="T152" s="36"/>
      <c r="U152" s="36"/>
    </row>
    <row r="153" spans="1:21">
      <c r="A153" s="3"/>
      <c r="B153" s="3"/>
      <c r="C153" s="3"/>
      <c r="D153" s="3"/>
      <c r="E153" s="3"/>
      <c r="F153" s="3"/>
      <c r="G153" s="3"/>
      <c r="H153" s="3"/>
      <c r="I153" s="3"/>
      <c r="J153" s="3"/>
      <c r="K153" s="3"/>
      <c r="L153" s="3"/>
      <c r="M153" s="3"/>
      <c r="N153"/>
      <c r="O153"/>
      <c r="P153" s="36"/>
      <c r="Q153" s="36"/>
    </row>
    <row r="154" spans="1:21">
      <c r="N154"/>
      <c r="O154"/>
      <c r="P154" s="36"/>
      <c r="Q154" s="36"/>
    </row>
    <row r="155" spans="1:21">
      <c r="N155"/>
      <c r="O155"/>
      <c r="P155" s="36"/>
      <c r="Q155" s="36"/>
    </row>
    <row r="156" spans="1:21">
      <c r="N156"/>
      <c r="O156"/>
      <c r="P156" s="36"/>
      <c r="Q156" s="36"/>
    </row>
  </sheetData>
  <mergeCells count="73">
    <mergeCell ref="O31:O34"/>
    <mergeCell ref="E122:E123"/>
    <mergeCell ref="F122:F123"/>
    <mergeCell ref="F124:F125"/>
    <mergeCell ref="E124:E125"/>
    <mergeCell ref="F51:I51"/>
    <mergeCell ref="B151:D152"/>
    <mergeCell ref="B140:D141"/>
    <mergeCell ref="E149:E150"/>
    <mergeCell ref="E130:E131"/>
    <mergeCell ref="B130:D131"/>
    <mergeCell ref="E136:E137"/>
    <mergeCell ref="B147:D148"/>
    <mergeCell ref="B149:D150"/>
    <mergeCell ref="B136:D137"/>
    <mergeCell ref="B138:D139"/>
    <mergeCell ref="B132:D133"/>
    <mergeCell ref="B134:D135"/>
    <mergeCell ref="F149:F150"/>
    <mergeCell ref="E151:E152"/>
    <mergeCell ref="F151:F152"/>
    <mergeCell ref="E138:E139"/>
    <mergeCell ref="F138:F139"/>
    <mergeCell ref="E140:E141"/>
    <mergeCell ref="F140:F141"/>
    <mergeCell ref="E147:E148"/>
    <mergeCell ref="F147:F148"/>
    <mergeCell ref="B128:D129"/>
    <mergeCell ref="C12:D12"/>
    <mergeCell ref="D18:F18"/>
    <mergeCell ref="F136:F137"/>
    <mergeCell ref="F130:F131"/>
    <mergeCell ref="B75:C75"/>
    <mergeCell ref="B26:C26"/>
    <mergeCell ref="B112:B115"/>
    <mergeCell ref="F132:F133"/>
    <mergeCell ref="E134:E135"/>
    <mergeCell ref="F134:F135"/>
    <mergeCell ref="E128:E129"/>
    <mergeCell ref="E132:E133"/>
    <mergeCell ref="F128:F129"/>
    <mergeCell ref="B21:J21"/>
    <mergeCell ref="B76:C76"/>
    <mergeCell ref="I24:J24"/>
    <mergeCell ref="I6:J6"/>
    <mergeCell ref="B18:C18"/>
    <mergeCell ref="B120:D120"/>
    <mergeCell ref="G10:J10"/>
    <mergeCell ref="E10:F10"/>
    <mergeCell ref="D24:E24"/>
    <mergeCell ref="G24:H24"/>
    <mergeCell ref="I8:J8"/>
    <mergeCell ref="C10:D10"/>
    <mergeCell ref="E12:F12"/>
    <mergeCell ref="C8:D8"/>
    <mergeCell ref="B14:J14"/>
    <mergeCell ref="H16:I16"/>
    <mergeCell ref="G12:J12"/>
    <mergeCell ref="B2:J2"/>
    <mergeCell ref="C4:D4"/>
    <mergeCell ref="E4:F4"/>
    <mergeCell ref="G4:J4"/>
    <mergeCell ref="C6:D6"/>
    <mergeCell ref="E6:F6"/>
    <mergeCell ref="A122:A127"/>
    <mergeCell ref="B29:N29"/>
    <mergeCell ref="B122:D123"/>
    <mergeCell ref="B64:D64"/>
    <mergeCell ref="F126:F127"/>
    <mergeCell ref="E126:E127"/>
    <mergeCell ref="B126:D127"/>
    <mergeCell ref="B77:C77"/>
    <mergeCell ref="B124:D125"/>
  </mergeCells>
  <phoneticPr fontId="31" type="noConversion"/>
  <conditionalFormatting sqref="B34 B32 C33:N33 D32:H32">
    <cfRule type="expression" dxfId="52" priority="2" stopIfTrue="1">
      <formula>+AND(B31&gt;=#REF!,B31&lt;=#REF!)</formula>
    </cfRule>
  </conditionalFormatting>
  <conditionalFormatting sqref="C34:N34">
    <cfRule type="expression" dxfId="51" priority="3" stopIfTrue="1">
      <formula>+AND(C32&gt;=#REF!,C32&lt;=#REF!)</formula>
    </cfRule>
  </conditionalFormatting>
  <conditionalFormatting sqref="C30:N30 C98:N98">
    <cfRule type="cellIs" dxfId="50" priority="6" stopIfTrue="1" operator="equal">
      <formula>$C$16</formula>
    </cfRule>
  </conditionalFormatting>
  <conditionalFormatting sqref="C12:D12">
    <cfRule type="cellIs" dxfId="49" priority="8" stopIfTrue="1" operator="equal">
      <formula>"C"</formula>
    </cfRule>
    <cfRule type="cellIs" dxfId="48" priority="9" stopIfTrue="1" operator="equal">
      <formula>"B2"</formula>
    </cfRule>
    <cfRule type="cellIs" dxfId="47" priority="10" stopIfTrue="1" operator="equal">
      <formula>"B1"</formula>
    </cfRule>
  </conditionalFormatting>
  <conditionalFormatting sqref="H146:S146 H120:S121">
    <cfRule type="cellIs" dxfId="46" priority="17" stopIfTrue="1" operator="equal">
      <formula>$C$16</formula>
    </cfRule>
  </conditionalFormatting>
  <conditionalFormatting sqref="F51:I51">
    <cfRule type="expression" dxfId="45" priority="18" stopIfTrue="1">
      <formula>LEFT($F$51,2)="OK"</formula>
    </cfRule>
  </conditionalFormatting>
  <conditionalFormatting sqref="G94">
    <cfRule type="cellIs" dxfId="44" priority="27" stopIfTrue="1" operator="equal">
      <formula>"OK: SR data match."</formula>
    </cfRule>
    <cfRule type="cellIs" dxfId="43" priority="28" stopIfTrue="1" operator="equal">
      <formula>"Warning: check SR data in M3 and M4."</formula>
    </cfRule>
  </conditionalFormatting>
  <conditionalFormatting sqref="C32">
    <cfRule type="expression" dxfId="42" priority="1" stopIfTrue="1">
      <formula>+AND(C31&gt;=#REF!,C31&lt;=#REF!)</formula>
    </cfRule>
  </conditionalFormatting>
  <dataValidations count="9">
    <dataValidation type="list" allowBlank="1" showInputMessage="1" showErrorMessage="1" sqref="B112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12:C115">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52" max="16383" man="1"/>
  </rowBreaks>
  <ignoredErrors>
    <ignoredError sqref="H146:S146 E147 D5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A7" zoomScale="90" zoomScaleNormal="90" zoomScaleSheetLayoutView="100" zoomScalePageLayoutView="90" workbookViewId="0">
      <selection activeCell="E29" sqref="E29"/>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54"/>
      <c r="H1" s="2"/>
      <c r="I1" s="2"/>
      <c r="J1" s="2"/>
    </row>
    <row r="2" spans="1:24" ht="25.5" customHeight="1"/>
    <row r="3" spans="1:24" ht="36">
      <c r="B3" s="758" t="str">
        <f>+"Dashboard: "&amp;" "&amp;+IF('Data Entry'!C4="Please Select","",'Data Entry'!C4&amp;" - ")&amp;+IF('Data Entry'!G6="Please Select","",'Data Entry'!G6&amp;"  (")&amp;+IF('Data Entry'!C8="Please Select","",'Data Entry'!C8)&amp;")"</f>
        <v>Dashboard:  Ghana - MALARIA  (AngloGold Asanti (Ghana) Malaria Ltd)</v>
      </c>
      <c r="C3" s="758"/>
      <c r="D3" s="758"/>
      <c r="E3" s="758"/>
      <c r="F3" s="758"/>
      <c r="G3" s="758"/>
      <c r="H3" s="758"/>
      <c r="I3" s="758"/>
      <c r="J3" s="758"/>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0" t="s">
        <v>33</v>
      </c>
      <c r="B6" s="760" t="str">
        <f>+IF('Data Entry'!C4="Please Select","",'Data Entry'!C4)</f>
        <v>Ghana</v>
      </c>
      <c r="C6" s="760"/>
      <c r="D6" s="764" t="s">
        <v>19</v>
      </c>
      <c r="E6" s="764"/>
      <c r="F6" s="765" t="str">
        <f>+'Data Entry'!G4</f>
        <v>Accelerating Access -- Home-Based Care &amp; Indoor Residual Spraying</v>
      </c>
      <c r="G6" s="765"/>
      <c r="H6" s="765"/>
      <c r="I6" s="765"/>
      <c r="J6" s="765"/>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48" t="s">
        <v>34</v>
      </c>
      <c r="B9" s="445" t="str">
        <f>+IF('Data Entry'!G6="Please Select","",'Data Entry'!G6)</f>
        <v>MALARIA</v>
      </c>
      <c r="C9" s="348" t="s">
        <v>325</v>
      </c>
      <c r="D9" s="319" t="str">
        <f>+'Data Entry'!C6</f>
        <v>GHA-M-AGAMAL</v>
      </c>
      <c r="E9" s="762" t="s">
        <v>20</v>
      </c>
      <c r="F9" s="762"/>
      <c r="G9" s="320">
        <f>+IF(ISBLANK('Data Entry'!C10),"",'Data Entry'!C10)</f>
        <v>42064</v>
      </c>
      <c r="H9" s="348" t="str">
        <f>'Data Entry'!H6</f>
        <v>Funding:</v>
      </c>
      <c r="I9" s="761">
        <f>+IF(ISBLANK('Data Entry'!I6),"",'Data Entry'!I6)</f>
        <v>13325139.303646</v>
      </c>
      <c r="J9" s="761"/>
      <c r="K9" s="50"/>
      <c r="L9" s="50"/>
      <c r="M9" s="50"/>
      <c r="N9" s="50"/>
      <c r="O9" s="52"/>
      <c r="P9" s="51"/>
      <c r="Q9" s="52"/>
      <c r="R9" s="53"/>
      <c r="S9" s="17"/>
      <c r="T9" s="11"/>
      <c r="U9" s="11"/>
      <c r="V9" s="10"/>
      <c r="W9" s="10"/>
      <c r="X9" s="10"/>
    </row>
    <row r="10" spans="1:24" ht="25.5" customHeight="1">
      <c r="A10" s="348" t="s">
        <v>320</v>
      </c>
      <c r="B10" s="446" t="str">
        <f>+IF('Data Entry'!G8="Please Select","",'Data Entry'!G8)</f>
        <v>1</v>
      </c>
      <c r="C10" s="348" t="s">
        <v>319</v>
      </c>
      <c r="D10" s="443" t="str">
        <f>+IF('Data Entry'!I8="Please Select","",'Data Entry'!I8)</f>
        <v>New Funding Model</v>
      </c>
      <c r="E10" s="763" t="s">
        <v>274</v>
      </c>
      <c r="F10" s="763"/>
      <c r="G10" s="759" t="str">
        <f>+'Data Entry'!C8</f>
        <v>AngloGold Asanti (Ghana) Malaria Ltd</v>
      </c>
      <c r="H10" s="759"/>
      <c r="I10" s="759"/>
      <c r="J10" s="759"/>
      <c r="K10" s="54"/>
      <c r="L10" s="54"/>
      <c r="M10" s="50"/>
      <c r="N10" s="54"/>
      <c r="O10" s="52"/>
      <c r="P10" s="51"/>
      <c r="Q10" s="11"/>
      <c r="R10" s="53"/>
      <c r="S10" s="17"/>
      <c r="T10" s="11"/>
      <c r="U10" s="11"/>
    </row>
    <row r="11" spans="1:24" ht="25.5" customHeight="1">
      <c r="A11" s="348" t="s">
        <v>28</v>
      </c>
      <c r="B11" s="447" t="str">
        <f>+'Data Entry'!C16</f>
        <v>P4</v>
      </c>
      <c r="C11" s="408" t="s">
        <v>272</v>
      </c>
      <c r="D11" s="444">
        <f>+IF(ISBLANK('Data Entry'!E16),"",'Data Entry'!E16)</f>
        <v>42278</v>
      </c>
      <c r="E11" s="762" t="s">
        <v>29</v>
      </c>
      <c r="F11" s="762"/>
      <c r="G11" s="320">
        <f>+IF(ISBLANK('Data Entry'!G16),"",'Data Entry'!G16)</f>
        <v>42369</v>
      </c>
      <c r="H11" s="348" t="s">
        <v>36</v>
      </c>
      <c r="I11" s="766" t="str">
        <f>+IF('Data Entry'!C12="Please Select","",'Data Entry'!C12)</f>
        <v>A2</v>
      </c>
      <c r="J11" s="766"/>
      <c r="K11" s="253"/>
      <c r="L11" s="54"/>
      <c r="M11" s="50"/>
      <c r="N11" s="54"/>
      <c r="O11" s="54"/>
      <c r="P11" s="51"/>
      <c r="Q11" s="11"/>
      <c r="R11" s="53"/>
      <c r="S11" s="17"/>
      <c r="T11" s="12"/>
      <c r="U11" s="11"/>
    </row>
    <row r="12" spans="1:24" ht="25.5" customHeight="1">
      <c r="A12" s="348" t="s">
        <v>38</v>
      </c>
      <c r="B12" s="759" t="str">
        <f>+IF('Data Entry'!G10="Please Select","",'Data Entry'!G10)</f>
        <v>PwC (PricewaterhouseCoopers)</v>
      </c>
      <c r="C12" s="759"/>
      <c r="D12" s="759"/>
      <c r="E12" s="763" t="s">
        <v>294</v>
      </c>
      <c r="F12" s="763"/>
      <c r="G12" s="759" t="str">
        <f>+'Data Entry'!G12</f>
        <v>Mark Saalfeld</v>
      </c>
      <c r="H12" s="759"/>
      <c r="I12" s="759"/>
      <c r="J12" s="759"/>
      <c r="K12" s="54"/>
      <c r="L12" s="54"/>
      <c r="M12" s="50"/>
      <c r="N12" s="54"/>
      <c r="O12" s="17"/>
      <c r="P12" s="51"/>
      <c r="Q12" s="11"/>
      <c r="R12" s="53"/>
      <c r="S12" s="17"/>
      <c r="T12" s="11"/>
      <c r="U12" s="55"/>
      <c r="V12" s="11"/>
      <c r="W12" s="12"/>
      <c r="X12" s="11"/>
    </row>
    <row r="13" spans="1:24" ht="25.5" customHeight="1">
      <c r="A13" s="348" t="s">
        <v>39</v>
      </c>
      <c r="B13" s="759" t="str">
        <f>+'Data Entry'!D18</f>
        <v>AGAMAL LTD</v>
      </c>
      <c r="C13" s="759"/>
      <c r="D13" s="759"/>
      <c r="E13" s="763" t="s">
        <v>37</v>
      </c>
      <c r="F13" s="763"/>
      <c r="G13" s="767">
        <f>+IF(ISBLANK('Data Entry'!J16),"",'Data Entry'!J16)</f>
        <v>42412</v>
      </c>
      <c r="H13" s="768"/>
      <c r="I13" s="768"/>
      <c r="J13" s="768"/>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49"/>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1" type="noConversion"/>
  <conditionalFormatting sqref="I11:J11">
    <cfRule type="cellIs" dxfId="41" priority="1" stopIfTrue="1" operator="equal">
      <formula>"C"</formula>
    </cfRule>
    <cfRule type="cellIs" dxfId="40" priority="2" stopIfTrue="1" operator="equal">
      <formula>"B2"</formula>
    </cfRule>
    <cfRule type="cellIs" dxfId="39"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Normal="100" workbookViewId="0">
      <selection activeCell="C23" sqref="C23:F23"/>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701" t="str">
        <f>'Grant Detail'!B3:J3</f>
        <v>Dashboard:  Ghana - MALARIA  (AngloGold Asanti (Ghana) Malaria Ltd)</v>
      </c>
      <c r="C2" s="701"/>
      <c r="D2" s="701"/>
      <c r="E2" s="701"/>
      <c r="F2" s="701"/>
      <c r="G2" s="701"/>
      <c r="H2" s="701"/>
      <c r="I2" s="701"/>
      <c r="J2" s="701"/>
      <c r="K2" s="701"/>
      <c r="L2" s="1"/>
      <c r="M2" s="1"/>
      <c r="N2" s="1"/>
      <c r="O2" s="1"/>
    </row>
    <row r="3" spans="2:15">
      <c r="B3" s="132" t="str">
        <f>+IF('Data Entry'!G8="Please Select","",'Data Entry'!G8)</f>
        <v>1</v>
      </c>
      <c r="C3" s="783" t="str">
        <f>+IF('Data Entry'!I8="Please Select","",'Data Entry'!I8)</f>
        <v>New Funding Model</v>
      </c>
      <c r="D3" s="783"/>
      <c r="E3" s="782"/>
      <c r="F3" s="782"/>
      <c r="G3" s="782"/>
      <c r="H3" s="782"/>
      <c r="I3" s="780" t="str">
        <f>+'Data Entry'!B16</f>
        <v>Report Period:</v>
      </c>
      <c r="J3" s="780"/>
      <c r="K3" s="198" t="str">
        <f>+'Data Entry'!C16</f>
        <v>P4</v>
      </c>
      <c r="L3" s="83"/>
    </row>
    <row r="4" spans="2:15">
      <c r="B4" s="132" t="str">
        <f>+'Data Entry'!B12</f>
        <v>Latest Rating:</v>
      </c>
      <c r="C4" s="784" t="str">
        <f>+IF('Data Entry'!C12="Please Select","",'Data Entry'!C12)</f>
        <v>A2</v>
      </c>
      <c r="D4" s="784"/>
      <c r="E4" s="782" t="str">
        <f>+'Data Entry'!C8</f>
        <v>AngloGold Asanti (Ghana) Malaria Ltd</v>
      </c>
      <c r="F4" s="782"/>
      <c r="G4" s="782"/>
      <c r="H4" s="782"/>
      <c r="I4" s="780" t="str">
        <f>+'Data Entry'!D16</f>
        <v>From:</v>
      </c>
      <c r="J4" s="781"/>
      <c r="K4" s="200">
        <f>+IF(ISBLANK('Data Entry'!E16),"",'Data Entry'!E16)</f>
        <v>42278</v>
      </c>
    </row>
    <row r="5" spans="2:15" ht="18.75" customHeight="1">
      <c r="B5" s="132"/>
      <c r="C5" s="132"/>
      <c r="D5" s="779" t="str">
        <f>+'Data Entry'!G4</f>
        <v>Accelerating Access -- Home-Based Care &amp; Indoor Residual Spraying</v>
      </c>
      <c r="E5" s="779"/>
      <c r="F5" s="779"/>
      <c r="G5" s="779"/>
      <c r="H5" s="779"/>
      <c r="I5" s="779"/>
      <c r="J5" s="132" t="str">
        <f>+'Data Entry'!F16</f>
        <v>To:</v>
      </c>
      <c r="K5" s="200">
        <f>+IF(ISBLANK('Data Entry'!G16),"",'Data Entry'!G16)</f>
        <v>42369</v>
      </c>
    </row>
    <row r="6" spans="2:15" ht="18.75">
      <c r="B6" s="136"/>
      <c r="C6" s="132"/>
      <c r="D6" s="133"/>
      <c r="E6" s="769" t="s">
        <v>69</v>
      </c>
      <c r="F6" s="769"/>
      <c r="G6" s="769"/>
      <c r="H6" s="769"/>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P4</v>
      </c>
      <c r="C8" s="142"/>
      <c r="D8" s="2"/>
      <c r="E8" s="2"/>
      <c r="F8" s="2"/>
      <c r="H8" s="203" t="str">
        <f>+'Data Entry'!B53&amp; " - ("&amp;'Data Entry'!D26&amp;")               "&amp;+I3&amp;" "&amp;+K3</f>
        <v>F3: Disbursements and expenditures - ($)               Report Period: P4</v>
      </c>
      <c r="I8" s="3"/>
      <c r="J8" s="3"/>
      <c r="K8" s="3"/>
    </row>
    <row r="9" spans="2:15" ht="127.5" customHeight="1">
      <c r="B9" s="324" t="s">
        <v>16</v>
      </c>
      <c r="C9" s="775" t="s">
        <v>505</v>
      </c>
      <c r="D9" s="776"/>
      <c r="E9" s="776"/>
      <c r="F9" s="785"/>
      <c r="H9" s="325" t="s">
        <v>16</v>
      </c>
      <c r="I9" s="775" t="s">
        <v>508</v>
      </c>
      <c r="J9" s="776"/>
      <c r="K9" s="77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category - ($)  Report Period: P4</v>
      </c>
      <c r="C22" s="2"/>
      <c r="D22" s="2"/>
      <c r="E22" s="2"/>
      <c r="F22" s="2"/>
      <c r="H22" s="204" t="str">
        <f>+'Data Entry'!B62&amp;"      "&amp;+I3&amp;" "&amp;+K3</f>
        <v>F4: Latest PR reporting and disbursement cycle      Report Period: P4</v>
      </c>
      <c r="J22" s="3"/>
      <c r="K22" s="3"/>
    </row>
    <row r="23" spans="1:11" ht="204" customHeight="1">
      <c r="B23" s="325" t="s">
        <v>17</v>
      </c>
      <c r="C23" s="786" t="s">
        <v>509</v>
      </c>
      <c r="D23" s="776"/>
      <c r="E23" s="776"/>
      <c r="F23" s="785"/>
      <c r="G23" s="345"/>
      <c r="H23" s="325" t="s">
        <v>16</v>
      </c>
      <c r="I23" s="786"/>
      <c r="J23" s="787"/>
      <c r="K23" s="788"/>
    </row>
    <row r="24" spans="1:11" ht="15.75" thickBot="1">
      <c r="B24" s="213"/>
      <c r="C24" s="213"/>
      <c r="D24" s="213"/>
      <c r="E24" s="213"/>
      <c r="F24" s="213"/>
      <c r="G24" s="213"/>
      <c r="H24" s="214"/>
      <c r="I24" s="214"/>
      <c r="J24" s="213"/>
      <c r="K24" s="213"/>
    </row>
    <row r="25" spans="1:11" ht="29.25" customHeight="1" thickBot="1">
      <c r="B25" s="3"/>
      <c r="C25" s="3"/>
      <c r="D25" s="3"/>
      <c r="E25" s="3"/>
      <c r="F25" s="3"/>
      <c r="G25" s="304"/>
      <c r="H25" s="770" t="s">
        <v>310</v>
      </c>
      <c r="I25" s="771"/>
      <c r="J25" s="771"/>
      <c r="K25" s="772"/>
    </row>
    <row r="26" spans="1:11" ht="24.75">
      <c r="B26" s="3"/>
      <c r="C26" s="3"/>
      <c r="D26" s="3"/>
      <c r="E26" s="3"/>
      <c r="F26" s="3"/>
      <c r="G26" s="268"/>
      <c r="H26" s="773"/>
      <c r="I26" s="774"/>
      <c r="J26" s="283" t="s">
        <v>67</v>
      </c>
      <c r="K26" s="284" t="s">
        <v>68</v>
      </c>
    </row>
    <row r="27" spans="1:11" ht="23.25" customHeight="1">
      <c r="B27" s="3"/>
      <c r="C27" s="3"/>
      <c r="D27" s="3"/>
      <c r="E27" s="3"/>
      <c r="F27" s="3"/>
      <c r="G27" s="305"/>
      <c r="H27" s="777" t="str">
        <f>'Data Entry'!B66</f>
        <v>Days taken to submit final PU/DR to LFA</v>
      </c>
      <c r="I27" s="778"/>
      <c r="J27" s="285">
        <f>+'Data Entry'!C66</f>
        <v>45</v>
      </c>
      <c r="K27" s="282">
        <f>+'Data Entry'!D66</f>
        <v>45</v>
      </c>
    </row>
    <row r="28" spans="1:11" ht="21" customHeight="1">
      <c r="B28" s="3"/>
      <c r="C28" s="3"/>
      <c r="D28" s="3"/>
      <c r="E28" s="3"/>
      <c r="F28" s="3"/>
      <c r="G28" s="305"/>
      <c r="H28" s="777" t="str">
        <f>'Data Entry'!B67</f>
        <v>Days taken for disbursement to reach PR</v>
      </c>
      <c r="I28" s="778"/>
      <c r="J28" s="285">
        <f>+'Data Entry'!C67</f>
        <v>45</v>
      </c>
      <c r="K28" s="518" t="str">
        <f>+'Data Entry'!D67</f>
        <v>-</v>
      </c>
    </row>
    <row r="29" spans="1:11" ht="21" customHeight="1" thickBot="1">
      <c r="B29" s="3"/>
      <c r="C29" s="3"/>
      <c r="D29" s="3"/>
      <c r="E29" s="3"/>
      <c r="F29" s="3"/>
      <c r="G29" s="305"/>
      <c r="H29" s="789" t="str">
        <f>'Data Entry'!B68</f>
        <v xml:space="preserve">Days taken for disbursement to reach SRs </v>
      </c>
      <c r="I29" s="790"/>
      <c r="J29" s="286">
        <f>+'Data Entry'!C68</f>
        <v>0</v>
      </c>
      <c r="K29" s="287">
        <f>+'Data Entry'!D68</f>
        <v>0</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objects="1" scenarios="1"/>
  <mergeCells count="18">
    <mergeCell ref="H28:I28"/>
    <mergeCell ref="H29:I29"/>
    <mergeCell ref="B2:K2"/>
    <mergeCell ref="D5:I5"/>
    <mergeCell ref="I4:J4"/>
    <mergeCell ref="I3:J3"/>
    <mergeCell ref="E3:H3"/>
    <mergeCell ref="C3:D3"/>
    <mergeCell ref="C4:D4"/>
    <mergeCell ref="E4:H4"/>
    <mergeCell ref="E6:H6"/>
    <mergeCell ref="H25:K25"/>
    <mergeCell ref="H26:I26"/>
    <mergeCell ref="I9:K9"/>
    <mergeCell ref="H27:I27"/>
    <mergeCell ref="C9:F9"/>
    <mergeCell ref="I23:K23"/>
    <mergeCell ref="C23:F23"/>
  </mergeCells>
  <phoneticPr fontId="31" type="noConversion"/>
  <conditionalFormatting sqref="K27:K29">
    <cfRule type="cellIs" dxfId="38" priority="4" stopIfTrue="1" operator="greaterThan">
      <formula>J27</formula>
    </cfRule>
    <cfRule type="cellIs" dxfId="37" priority="5" stopIfTrue="1" operator="between">
      <formula>J27</formula>
      <formula>1</formula>
    </cfRule>
    <cfRule type="cellIs" dxfId="36" priority="6" stopIfTrue="1" operator="equal">
      <formula>0</formula>
    </cfRule>
  </conditionalFormatting>
  <conditionalFormatting sqref="C4:D4">
    <cfRule type="cellIs" dxfId="35" priority="1" stopIfTrue="1" operator="equal">
      <formula>"C"</formula>
    </cfRule>
    <cfRule type="cellIs" dxfId="34" priority="2" stopIfTrue="1" operator="equal">
      <formula>"B2"</formula>
    </cfRule>
    <cfRule type="cellIs" dxfId="33"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zoomScale="130" zoomScaleNormal="130" zoomScalePageLayoutView="125" workbookViewId="0">
      <selection activeCell="G9" sqref="G9:K9"/>
    </sheetView>
  </sheetViews>
  <sheetFormatPr defaultColWidth="11" defaultRowHeight="15"/>
  <cols>
    <col min="1" max="1" width="0.42578125" customWidth="1"/>
    <col min="2" max="2" width="11.28515625" customWidth="1"/>
    <col min="3" max="3" width="16.140625" customWidth="1"/>
    <col min="4" max="4" width="17.28515625" customWidth="1"/>
    <col min="5" max="5" width="8.42578125" customWidth="1"/>
    <col min="6" max="6" width="8.855468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826" t="str">
        <f>'Grant Detail'!B3:J3</f>
        <v>Dashboard:  Ghana - MALARIA  (AngloGold Asanti (Ghana) Malaria Ltd)</v>
      </c>
      <c r="C2" s="826"/>
      <c r="D2" s="826"/>
      <c r="E2" s="826"/>
      <c r="F2" s="826"/>
      <c r="G2" s="826"/>
      <c r="H2" s="826"/>
      <c r="I2" s="826"/>
      <c r="J2" s="826"/>
      <c r="K2" s="826"/>
      <c r="L2" s="826"/>
      <c r="M2" s="826"/>
      <c r="N2" s="826"/>
      <c r="O2" s="826"/>
      <c r="P2" s="826"/>
      <c r="Q2" s="826"/>
    </row>
    <row r="3" spans="1:35" ht="18.75">
      <c r="A3" s="3"/>
      <c r="B3" s="132" t="str">
        <f>+IF('Data Entry'!G8="Please Select","",'Data Entry'!G8)</f>
        <v>1</v>
      </c>
      <c r="C3" s="783" t="str">
        <f>+IF('Data Entry'!I8="Please Select","",'Data Entry'!I8)</f>
        <v>New Funding Model</v>
      </c>
      <c r="D3" s="783"/>
      <c r="E3" s="782"/>
      <c r="F3" s="782"/>
      <c r="G3" s="782"/>
      <c r="H3" s="782"/>
      <c r="I3" s="829"/>
      <c r="J3" s="829"/>
      <c r="K3" s="829"/>
      <c r="L3" s="3"/>
      <c r="M3" s="3"/>
      <c r="O3" s="780" t="str">
        <f>+'Data Entry'!B16</f>
        <v>Report Period:</v>
      </c>
      <c r="P3" s="780"/>
      <c r="Q3" s="199" t="str">
        <f>+'Data Entry'!C16</f>
        <v>P4</v>
      </c>
    </row>
    <row r="4" spans="1:35" ht="12" customHeight="1">
      <c r="A4" s="3"/>
      <c r="B4" s="132" t="str">
        <f>+'Data Entry'!B12</f>
        <v>Latest Rating:</v>
      </c>
      <c r="C4" s="830" t="str">
        <f>+IF('Data Entry'!C12="Please Select","",'Data Entry'!C12)</f>
        <v>A2</v>
      </c>
      <c r="D4" s="830"/>
      <c r="E4" s="782" t="str">
        <f>+'Data Entry'!C8</f>
        <v>AngloGold Asanti (Ghana) Malaria Ltd</v>
      </c>
      <c r="F4" s="782"/>
      <c r="G4" s="782"/>
      <c r="H4" s="782"/>
      <c r="I4" s="782"/>
      <c r="J4" s="782"/>
      <c r="K4" s="782"/>
      <c r="L4" s="782"/>
      <c r="M4" s="3"/>
      <c r="O4" s="312"/>
      <c r="P4" s="132" t="str">
        <f>+'Data Entry'!D16</f>
        <v>From:</v>
      </c>
      <c r="Q4" s="313">
        <f>+IF(ISBLANK('Data Entry'!E16),"",'Data Entry'!E16)</f>
        <v>42278</v>
      </c>
      <c r="Y4" s="71"/>
      <c r="Z4" s="71"/>
      <c r="AA4" s="71"/>
      <c r="AB4" s="71"/>
      <c r="AC4" s="71"/>
    </row>
    <row r="5" spans="1:35" ht="15.75" customHeight="1">
      <c r="A5" s="3"/>
      <c r="B5" s="132"/>
      <c r="C5" s="132"/>
      <c r="D5" s="782" t="str">
        <f>+'Data Entry'!G4</f>
        <v>Accelerating Access -- Home-Based Care &amp; Indoor Residual Spraying</v>
      </c>
      <c r="E5" s="782"/>
      <c r="F5" s="782"/>
      <c r="G5" s="782"/>
      <c r="H5" s="782"/>
      <c r="I5" s="782"/>
      <c r="J5" s="782"/>
      <c r="K5" s="782"/>
      <c r="L5" s="782"/>
      <c r="M5" s="782"/>
      <c r="N5" s="782"/>
      <c r="P5" s="132" t="str">
        <f>+'Data Entry'!F16</f>
        <v>To:</v>
      </c>
      <c r="Q5" s="313">
        <f>+IF(ISBLANK('Data Entry'!G16),"",'Data Entry'!G16)</f>
        <v>42369</v>
      </c>
      <c r="S5" s="225"/>
      <c r="T5" s="225"/>
      <c r="U5" s="225"/>
      <c r="V5" s="225"/>
      <c r="W5" s="225"/>
      <c r="X5" s="225"/>
      <c r="Y5" s="71"/>
      <c r="Z5" s="71"/>
      <c r="AA5" s="71" t="s">
        <v>50</v>
      </c>
      <c r="AB5" s="71"/>
      <c r="AC5" s="71" t="s">
        <v>270</v>
      </c>
      <c r="AD5" s="225"/>
      <c r="AE5" s="225"/>
      <c r="AF5" s="225"/>
      <c r="AG5" s="225"/>
      <c r="AH5" s="225"/>
      <c r="AI5" s="225"/>
    </row>
    <row r="6" spans="1:35" ht="15.75" customHeight="1">
      <c r="A6" s="3"/>
      <c r="B6" s="132"/>
      <c r="C6" s="132"/>
      <c r="D6" s="224"/>
      <c r="E6" s="224"/>
      <c r="F6" s="828" t="s">
        <v>373</v>
      </c>
      <c r="G6" s="828"/>
      <c r="H6" s="828"/>
      <c r="I6" s="828"/>
      <c r="J6" s="828"/>
      <c r="K6" s="828"/>
      <c r="L6" s="224"/>
      <c r="M6" s="3"/>
      <c r="N6" s="3"/>
      <c r="O6" s="201"/>
      <c r="P6" s="245"/>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4" customHeight="1">
      <c r="A8" s="3"/>
      <c r="B8" s="827" t="str">
        <f>+'Data Entry'!B122</f>
        <v>Percentage of population in targeted areas sprayed with IRS in the last 12 months</v>
      </c>
      <c r="C8" s="827"/>
      <c r="D8" s="827"/>
      <c r="E8" s="827"/>
      <c r="F8" s="827" t="str">
        <f>+'Data Entry'!B124</f>
        <v>Number of structures sprayed in targeted areas with IRS in the last 12 months</v>
      </c>
      <c r="G8" s="827"/>
      <c r="H8" s="827"/>
      <c r="I8" s="827"/>
      <c r="J8" s="827"/>
      <c r="K8" s="827"/>
      <c r="L8" s="827">
        <f>+'Data Entry'!B126</f>
        <v>0</v>
      </c>
      <c r="M8" s="827"/>
      <c r="N8" s="827"/>
      <c r="O8" s="827"/>
      <c r="P8" s="827"/>
      <c r="Q8" s="827"/>
      <c r="S8" s="225"/>
      <c r="T8" s="225"/>
      <c r="U8" s="225"/>
      <c r="V8" s="225"/>
      <c r="W8" s="225"/>
      <c r="X8" s="225"/>
      <c r="Y8" s="71"/>
      <c r="Z8" s="71"/>
      <c r="AA8" s="71"/>
      <c r="AB8" s="71"/>
      <c r="AC8" s="71"/>
      <c r="AD8" s="225"/>
      <c r="AE8" s="225"/>
      <c r="AF8" s="225"/>
      <c r="AG8" s="225"/>
      <c r="AH8" s="225"/>
      <c r="AI8" s="225"/>
    </row>
    <row r="9" spans="1:35" ht="111" customHeight="1">
      <c r="A9" s="3"/>
      <c r="B9" s="410" t="s">
        <v>12</v>
      </c>
      <c r="C9" s="793" t="s">
        <v>506</v>
      </c>
      <c r="D9" s="796"/>
      <c r="E9" s="797"/>
      <c r="F9" s="411" t="s">
        <v>12</v>
      </c>
      <c r="G9" s="793" t="s">
        <v>504</v>
      </c>
      <c r="H9" s="796"/>
      <c r="I9" s="796"/>
      <c r="J9" s="796"/>
      <c r="K9" s="797"/>
      <c r="L9" s="411" t="s">
        <v>13</v>
      </c>
      <c r="M9" s="793"/>
      <c r="N9" s="794"/>
      <c r="O9" s="794"/>
      <c r="P9" s="794"/>
      <c r="Q9" s="795"/>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492"/>
      <c r="C17" s="492"/>
      <c r="D17" s="493"/>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494"/>
      <c r="C18" s="492"/>
      <c r="D18" s="495"/>
      <c r="E18" s="798"/>
      <c r="F18" s="798"/>
      <c r="G18" s="798"/>
      <c r="H18" s="798"/>
      <c r="I18" s="798"/>
      <c r="J18" s="798"/>
      <c r="K18" s="798"/>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1" customHeight="1">
      <c r="A19" s="3"/>
      <c r="B19" s="799" t="s">
        <v>95</v>
      </c>
      <c r="C19" s="799"/>
      <c r="D19" s="799"/>
      <c r="E19" s="143" t="s">
        <v>92</v>
      </c>
      <c r="F19" s="143" t="s">
        <v>96</v>
      </c>
      <c r="G19" s="817" t="s">
        <v>328</v>
      </c>
      <c r="H19" s="818"/>
      <c r="I19" s="819" t="s">
        <v>329</v>
      </c>
      <c r="J19" s="820"/>
      <c r="K19" s="311" t="s">
        <v>411</v>
      </c>
      <c r="L19" s="821" t="s">
        <v>99</v>
      </c>
      <c r="M19" s="822"/>
      <c r="N19" s="822"/>
      <c r="O19" s="822"/>
      <c r="P19" s="822"/>
      <c r="Q19" s="823"/>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82.5" customHeight="1">
      <c r="A20" s="3"/>
      <c r="B20" s="791" t="str">
        <f>+'Data Entry'!B122</f>
        <v>Percentage of population in targeted areas sprayed with IRS in the last 12 months</v>
      </c>
      <c r="C20" s="791"/>
      <c r="D20" s="791"/>
      <c r="E20" s="477">
        <f ca="1">OFFSET('Data Entry'!$G$121,1,RIGHT('Data Entry'!$C$16,LEN('Data Entry'!$C$16)-1),1,1)</f>
        <v>0</v>
      </c>
      <c r="F20" s="477">
        <f ca="1">OFFSET('Data Entry'!$G$121,2,RIGHT('Data Entry'!$C$16,LEN('Data Entry'!$C$16)-1),1,1)</f>
        <v>0</v>
      </c>
      <c r="G20" s="803">
        <f t="shared" ref="G20:G29" ca="1" si="0">+IF(ISERROR(F20/E20),0,F20/E20)</f>
        <v>0</v>
      </c>
      <c r="H20" s="804"/>
      <c r="I20" s="804"/>
      <c r="J20" s="804"/>
      <c r="K20" s="805"/>
      <c r="L20" s="792" t="s">
        <v>506</v>
      </c>
      <c r="M20" s="792"/>
      <c r="N20" s="792"/>
      <c r="O20" s="792"/>
      <c r="P20" s="792"/>
      <c r="Q20" s="792"/>
      <c r="R20" s="455"/>
      <c r="S20" s="454"/>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83.25" customHeight="1">
      <c r="A21" s="3"/>
      <c r="B21" s="791" t="str">
        <f>+'Data Entry'!B124</f>
        <v>Number of structures sprayed in targeted areas with IRS in the last 12 months</v>
      </c>
      <c r="C21" s="791"/>
      <c r="D21" s="791"/>
      <c r="E21" s="144">
        <f ca="1">OFFSET('Data Entry'!$G$121,3,RIGHT('Data Entry'!$C$16,LEN('Data Entry'!$C$16)-1),1,1)</f>
        <v>0</v>
      </c>
      <c r="F21" s="144">
        <f ca="1">OFFSET('Data Entry'!$G$121,4,RIGHT('Data Entry'!$C$16,LEN('Data Entry'!$C$16)-1),1,1)</f>
        <v>0</v>
      </c>
      <c r="G21" s="803">
        <f t="shared" ca="1" si="0"/>
        <v>0</v>
      </c>
      <c r="H21" s="804"/>
      <c r="I21" s="804"/>
      <c r="J21" s="804"/>
      <c r="K21" s="805"/>
      <c r="L21" s="824" t="s">
        <v>504</v>
      </c>
      <c r="M21" s="824"/>
      <c r="N21" s="824"/>
      <c r="O21" s="824"/>
      <c r="P21" s="824"/>
      <c r="Q21" s="824"/>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271</v>
      </c>
      <c r="AA21" s="69" t="s">
        <v>270</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41.25" customHeight="1">
      <c r="A22" s="3"/>
      <c r="B22" s="791">
        <f>+'Data Entry'!B126</f>
        <v>0</v>
      </c>
      <c r="C22" s="791"/>
      <c r="D22" s="791"/>
      <c r="E22" s="144">
        <f ca="1">OFFSET('Data Entry'!$G$121,5,RIGHT('Data Entry'!$C$16,LEN('Data Entry'!$C$16)-1),1,1)</f>
        <v>0</v>
      </c>
      <c r="F22" s="144">
        <f ca="1">OFFSET('Data Entry'!$G$121,6,RIGHT('Data Entry'!$C$16,LEN('Data Entry'!$C$16)-1),1,1)</f>
        <v>0</v>
      </c>
      <c r="G22" s="803">
        <f t="shared" ca="1" si="0"/>
        <v>0</v>
      </c>
      <c r="H22" s="804"/>
      <c r="I22" s="804"/>
      <c r="J22" s="804"/>
      <c r="K22" s="805"/>
      <c r="L22" s="792"/>
      <c r="M22" s="792"/>
      <c r="N22" s="792"/>
      <c r="O22" s="792"/>
      <c r="P22" s="792"/>
      <c r="Q22" s="792"/>
      <c r="S22" s="69"/>
      <c r="T22" s="67" t="e">
        <f t="shared" ref="T22:W33"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75" customHeight="1">
      <c r="A23" s="3"/>
      <c r="B23" s="812">
        <f>+'Data Entry'!B128</f>
        <v>0</v>
      </c>
      <c r="C23" s="813"/>
      <c r="D23" s="814"/>
      <c r="E23" s="144">
        <f ca="1">OFFSET('Data Entry'!$G$121,7,RIGHT('Data Entry'!$C$16,LEN('Data Entry'!$C$16)-1),1,1)</f>
        <v>0</v>
      </c>
      <c r="F23" s="144">
        <f ca="1">OFFSET('Data Entry'!$G$121,8,RIGHT('Data Entry'!$C$16,LEN('Data Entry'!$C$16)-1),1,1)</f>
        <v>0</v>
      </c>
      <c r="G23" s="803">
        <f t="shared" ca="1" si="0"/>
        <v>0</v>
      </c>
      <c r="H23" s="804"/>
      <c r="I23" s="804"/>
      <c r="J23" s="804"/>
      <c r="K23" s="805"/>
      <c r="L23" s="792"/>
      <c r="M23" s="792"/>
      <c r="N23" s="792"/>
      <c r="O23" s="792"/>
      <c r="P23" s="792"/>
      <c r="Q23" s="792"/>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65.25" customHeight="1">
      <c r="A24" s="3"/>
      <c r="B24" s="791">
        <f>+'Data Entry'!B130</f>
        <v>0</v>
      </c>
      <c r="C24" s="791"/>
      <c r="D24" s="791"/>
      <c r="E24" s="517">
        <f ca="1">OFFSET('Data Entry'!$G$121,9,RIGHT('Data Entry'!$C$16,LEN('Data Entry'!$C$16)-1),1,1)</f>
        <v>0</v>
      </c>
      <c r="F24" s="517">
        <f ca="1">OFFSET('Data Entry'!$G$121,10,RIGHT('Data Entry'!$C$16,LEN('Data Entry'!$C$16)-1),1,1)</f>
        <v>0</v>
      </c>
      <c r="G24" s="803">
        <f t="shared" ca="1" si="0"/>
        <v>0</v>
      </c>
      <c r="H24" s="804"/>
      <c r="I24" s="804"/>
      <c r="J24" s="804"/>
      <c r="K24" s="805"/>
      <c r="L24" s="792"/>
      <c r="M24" s="792"/>
      <c r="N24" s="792"/>
      <c r="O24" s="792"/>
      <c r="P24" s="792"/>
      <c r="Q24" s="792"/>
      <c r="S24" s="69"/>
      <c r="T24" s="67" t="e">
        <f t="shared" si="1"/>
        <v>#N/A</v>
      </c>
      <c r="U24" s="67" t="e">
        <f t="shared" si="1"/>
        <v>#N/A</v>
      </c>
      <c r="V24" s="67" t="e">
        <f t="shared" si="1"/>
        <v>#N/A</v>
      </c>
      <c r="W24" s="67" t="e">
        <f t="shared" si="1"/>
        <v>#N/A</v>
      </c>
      <c r="X24" s="67" t="e">
        <f t="shared" ref="X24:X33"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48.75" customHeight="1">
      <c r="A25" s="3"/>
      <c r="B25" s="791">
        <f>+'Data Entry'!B132</f>
        <v>0</v>
      </c>
      <c r="C25" s="791"/>
      <c r="D25" s="791"/>
      <c r="E25" s="144">
        <f ca="1">OFFSET('Data Entry'!$G$121,11,RIGHT('Data Entry'!$C$16,LEN('Data Entry'!$C$16)-1),1,1)</f>
        <v>0</v>
      </c>
      <c r="F25" s="144">
        <f ca="1">OFFSET('Data Entry'!$G$121,12,RIGHT('Data Entry'!$C$16,LEN('Data Entry'!$C$16)-1),1,1)</f>
        <v>0</v>
      </c>
      <c r="G25" s="803">
        <f t="shared" ca="1" si="0"/>
        <v>0</v>
      </c>
      <c r="H25" s="804"/>
      <c r="I25" s="804"/>
      <c r="J25" s="804"/>
      <c r="K25" s="805"/>
      <c r="L25" s="792"/>
      <c r="M25" s="792"/>
      <c r="N25" s="792"/>
      <c r="O25" s="792"/>
      <c r="P25" s="792"/>
      <c r="Q25" s="792"/>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customHeight="1">
      <c r="A26" s="3"/>
      <c r="B26" s="791">
        <f>+'Data Entry'!B134</f>
        <v>0</v>
      </c>
      <c r="C26" s="791"/>
      <c r="D26" s="791"/>
      <c r="E26" s="144">
        <f ca="1">OFFSET('Data Entry'!$G$121,13,RIGHT('Data Entry'!$C$16,LEN('Data Entry'!$C$16)-1),1,1)</f>
        <v>0</v>
      </c>
      <c r="F26" s="144">
        <f ca="1">OFFSET('Data Entry'!$G$121,14,RIGHT('Data Entry'!$C$16,LEN('Data Entry'!$C$16)-1),1,1)</f>
        <v>0</v>
      </c>
      <c r="G26" s="803">
        <f t="shared" ca="1" si="0"/>
        <v>0</v>
      </c>
      <c r="H26" s="804"/>
      <c r="I26" s="804"/>
      <c r="J26" s="804"/>
      <c r="K26" s="805"/>
      <c r="L26" s="792"/>
      <c r="M26" s="792"/>
      <c r="N26" s="792"/>
      <c r="O26" s="792"/>
      <c r="P26" s="792"/>
      <c r="Q26" s="792"/>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customHeight="1">
      <c r="A27" s="3"/>
      <c r="B27" s="811">
        <f>+'Data Entry'!B136</f>
        <v>0</v>
      </c>
      <c r="C27" s="791"/>
      <c r="D27" s="791"/>
      <c r="E27" s="491">
        <f ca="1">OFFSET('Data Entry'!$G$121,15,RIGHT('Data Entry'!$C$16,LEN('Data Entry'!$C$16)-1),1,1)</f>
        <v>0</v>
      </c>
      <c r="F27" s="491">
        <f ca="1">OFFSET('Data Entry'!$G$121,16,RIGHT('Data Entry'!$C$16,LEN('Data Entry'!$C$16)-1),1,1)</f>
        <v>0</v>
      </c>
      <c r="G27" s="803">
        <f ca="1">+IF(ISERROR(F27/E27),0,F27/E27)</f>
        <v>0</v>
      </c>
      <c r="H27" s="804"/>
      <c r="I27" s="804"/>
      <c r="J27" s="804"/>
      <c r="K27" s="805"/>
      <c r="L27" s="792"/>
      <c r="M27" s="792"/>
      <c r="N27" s="792"/>
      <c r="O27" s="792"/>
      <c r="P27" s="792"/>
      <c r="Q27" s="792"/>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c r="A28" s="3"/>
      <c r="B28" s="791">
        <f>+'Data Entry'!B138</f>
        <v>0</v>
      </c>
      <c r="C28" s="791"/>
      <c r="D28" s="791"/>
      <c r="E28" s="491">
        <f ca="1">OFFSET('Data Entry'!$G$121,17,RIGHT('Data Entry'!$C$16,LEN('Data Entry'!$C$16)-1),1,1)</f>
        <v>0</v>
      </c>
      <c r="F28" s="491">
        <f ca="1">OFFSET('Data Entry'!$G$121,18,RIGHT('Data Entry'!$C$16,LEN('Data Entry'!$C$16)-1),1,1)</f>
        <v>0</v>
      </c>
      <c r="G28" s="803">
        <f ca="1">+IF(ISERROR(F28/E28),0,F28/E28)</f>
        <v>0</v>
      </c>
      <c r="H28" s="804"/>
      <c r="I28" s="804"/>
      <c r="J28" s="804"/>
      <c r="K28" s="805"/>
      <c r="L28" s="792"/>
      <c r="M28" s="792"/>
      <c r="N28" s="792"/>
      <c r="O28" s="792"/>
      <c r="P28" s="792"/>
      <c r="Q28" s="792"/>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5.5" customHeight="1">
      <c r="A29" s="3"/>
      <c r="B29" s="812"/>
      <c r="C29" s="813"/>
      <c r="D29" s="814"/>
      <c r="E29" s="491"/>
      <c r="F29" s="491"/>
      <c r="G29" s="806">
        <f t="shared" si="0"/>
        <v>0</v>
      </c>
      <c r="H29" s="807"/>
      <c r="I29" s="807"/>
      <c r="J29" s="807"/>
      <c r="K29" s="808"/>
      <c r="L29" s="792"/>
      <c r="M29" s="792"/>
      <c r="N29" s="792"/>
      <c r="O29" s="792"/>
      <c r="P29" s="792"/>
      <c r="Q29" s="792"/>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810"/>
      <c r="C30" s="810"/>
      <c r="D30" s="810"/>
      <c r="E30" s="810"/>
      <c r="F30" s="809"/>
      <c r="G30" s="809"/>
      <c r="H30" s="809"/>
      <c r="I30" s="809"/>
      <c r="J30" s="809"/>
      <c r="K30" s="809"/>
      <c r="L30" s="816"/>
      <c r="M30" s="816"/>
      <c r="N30" s="816"/>
      <c r="O30" s="816"/>
      <c r="P30" s="816"/>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15"/>
      <c r="C31" s="815"/>
      <c r="D31" s="815"/>
      <c r="E31" s="802"/>
      <c r="F31" s="800"/>
      <c r="G31" s="801"/>
      <c r="H31" s="801"/>
      <c r="I31" s="801"/>
      <c r="J31" s="801"/>
      <c r="K31" s="802"/>
      <c r="L31" s="800"/>
      <c r="M31" s="801"/>
      <c r="N31" s="801"/>
      <c r="O31" s="801"/>
      <c r="P31" s="801"/>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25"/>
      <c r="C33" s="825"/>
      <c r="D33" s="825"/>
      <c r="E33" s="825"/>
      <c r="F33" s="825"/>
      <c r="G33" s="825"/>
      <c r="H33" s="825"/>
      <c r="I33" s="825"/>
      <c r="J33" s="825"/>
      <c r="K33" s="825"/>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25"/>
      <c r="C34" s="825"/>
      <c r="D34" s="825"/>
      <c r="E34" s="825"/>
      <c r="F34" s="825"/>
      <c r="G34" s="825"/>
      <c r="H34" s="825"/>
      <c r="I34" s="825"/>
      <c r="J34" s="825"/>
      <c r="K34" s="825"/>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99"/>
      <c r="J35" s="99"/>
      <c r="K35" s="99"/>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5"/>
      <c r="J36" s="146"/>
      <c r="K36" s="146"/>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7"/>
      <c r="J37" s="148"/>
      <c r="K37" s="101"/>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9"/>
      <c r="J38" s="148"/>
      <c r="K38" s="101"/>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7"/>
      <c r="J39" s="148"/>
      <c r="K39" s="101"/>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sheetProtection password="CFC9" sheet="1" objects="1" scenarios="1"/>
  <mergeCells count="58">
    <mergeCell ref="B2:Q2"/>
    <mergeCell ref="O3:P3"/>
    <mergeCell ref="D5:N5"/>
    <mergeCell ref="L8:Q8"/>
    <mergeCell ref="F6:K6"/>
    <mergeCell ref="E3:K3"/>
    <mergeCell ref="C4:D4"/>
    <mergeCell ref="C3:D3"/>
    <mergeCell ref="E4:L4"/>
    <mergeCell ref="B8:E8"/>
    <mergeCell ref="F8:K8"/>
    <mergeCell ref="B33:D34"/>
    <mergeCell ref="E33:G34"/>
    <mergeCell ref="H33:K34"/>
    <mergeCell ref="B23:D23"/>
    <mergeCell ref="B24:D24"/>
    <mergeCell ref="B25:D25"/>
    <mergeCell ref="G23:K23"/>
    <mergeCell ref="G24:K24"/>
    <mergeCell ref="G25:K25"/>
    <mergeCell ref="G26:K26"/>
    <mergeCell ref="B26:D26"/>
    <mergeCell ref="L27:Q27"/>
    <mergeCell ref="G19:H19"/>
    <mergeCell ref="I19:J19"/>
    <mergeCell ref="L19:Q19"/>
    <mergeCell ref="L25:Q25"/>
    <mergeCell ref="L20:Q20"/>
    <mergeCell ref="L21:Q21"/>
    <mergeCell ref="G20:K20"/>
    <mergeCell ref="G21:K21"/>
    <mergeCell ref="G22:K22"/>
    <mergeCell ref="L29:Q29"/>
    <mergeCell ref="F31:K31"/>
    <mergeCell ref="B21:D21"/>
    <mergeCell ref="G28:K28"/>
    <mergeCell ref="G29:K29"/>
    <mergeCell ref="F30:K30"/>
    <mergeCell ref="B30:E30"/>
    <mergeCell ref="B27:D27"/>
    <mergeCell ref="B22:D22"/>
    <mergeCell ref="B29:D29"/>
    <mergeCell ref="G27:K27"/>
    <mergeCell ref="B31:E31"/>
    <mergeCell ref="L31:P31"/>
    <mergeCell ref="L30:P30"/>
    <mergeCell ref="L28:Q28"/>
    <mergeCell ref="B28:D28"/>
    <mergeCell ref="M9:Q9"/>
    <mergeCell ref="C9:E9"/>
    <mergeCell ref="G9:K9"/>
    <mergeCell ref="E18:K18"/>
    <mergeCell ref="B19:D19"/>
    <mergeCell ref="B20:D20"/>
    <mergeCell ref="L22:Q22"/>
    <mergeCell ref="L23:Q23"/>
    <mergeCell ref="L24:Q24"/>
    <mergeCell ref="L26:Q26"/>
  </mergeCells>
  <phoneticPr fontId="31" type="noConversion"/>
  <conditionalFormatting sqref="C4:D4">
    <cfRule type="cellIs" dxfId="32" priority="56" stopIfTrue="1" operator="equal">
      <formula>"C"</formula>
    </cfRule>
    <cfRule type="cellIs" dxfId="31" priority="57" stopIfTrue="1" operator="equal">
      <formula>"B2"</formula>
    </cfRule>
    <cfRule type="cellIs" dxfId="30" priority="58" stopIfTrue="1" operator="equal">
      <formula>"B1"</formula>
    </cfRule>
  </conditionalFormatting>
  <conditionalFormatting sqref="G20:G26">
    <cfRule type="cellIs" dxfId="29" priority="62" stopIfTrue="1" operator="between">
      <formula>0</formula>
      <formula>0.599</formula>
    </cfRule>
    <cfRule type="cellIs" dxfId="28" priority="63" stopIfTrue="1" operator="between">
      <formula>0.6</formula>
      <formula>0.899</formula>
    </cfRule>
    <cfRule type="cellIs" dxfId="27" priority="64" stopIfTrue="1" operator="greaterThanOrEqual">
      <formula>0.9</formula>
    </cfRule>
  </conditionalFormatting>
  <conditionalFormatting sqref="G27:K29">
    <cfRule type="cellIs" dxfId="26" priority="71" stopIfTrue="1" operator="between">
      <formula>0.1</formula>
      <formula>0.599</formula>
    </cfRule>
    <cfRule type="cellIs" dxfId="25" priority="72" stopIfTrue="1" operator="between">
      <formula>0.6</formula>
      <formula>0.899</formula>
    </cfRule>
    <cfRule type="cellIs" dxfId="24" priority="73" stopIfTrue="1" operator="greaterThanOrEqual">
      <formula>0.9</formula>
    </cfRule>
  </conditionalFormatting>
  <conditionalFormatting sqref="G28">
    <cfRule type="cellIs" dxfId="23" priority="4" stopIfTrue="1" operator="between">
      <formula>0</formula>
      <formula>0.599</formula>
    </cfRule>
    <cfRule type="cellIs" dxfId="22" priority="5" stopIfTrue="1" operator="between">
      <formula>0.6</formula>
      <formula>0.899</formula>
    </cfRule>
    <cfRule type="cellIs" dxfId="21" priority="6" stopIfTrue="1" operator="greaterThanOrEqual">
      <formula>0.9</formula>
    </cfRule>
  </conditionalFormatting>
  <conditionalFormatting sqref="G27">
    <cfRule type="cellIs" dxfId="20" priority="1" stopIfTrue="1" operator="between">
      <formula>0</formula>
      <formula>0.599</formula>
    </cfRule>
    <cfRule type="cellIs" dxfId="19" priority="2" stopIfTrue="1" operator="between">
      <formula>0.6</formula>
      <formula>0.899</formula>
    </cfRule>
    <cfRule type="cellIs" dxfId="18" priority="3"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E24" zoomScale="120" zoomScaleNormal="120" zoomScalePageLayoutView="120" workbookViewId="0">
      <selection activeCell="C28" sqref="C28"/>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0"/>
      <c r="E1" s="231"/>
    </row>
    <row r="2" spans="1:16" ht="27.75" customHeight="1">
      <c r="B2" s="841" t="str">
        <f>'Grant Detail'!B3:J3</f>
        <v>Dashboard:  Ghana - MALARIA  (AngloGold Asanti (Ghana) Malaria Ltd)</v>
      </c>
      <c r="C2" s="841"/>
      <c r="D2" s="841"/>
      <c r="E2" s="841"/>
      <c r="F2" s="841"/>
      <c r="G2" s="841"/>
      <c r="H2" s="841"/>
      <c r="I2" s="841"/>
      <c r="J2" s="841"/>
      <c r="K2" s="841"/>
      <c r="L2" s="841"/>
      <c r="M2" s="26"/>
      <c r="N2" s="26"/>
      <c r="O2" s="26"/>
      <c r="P2" s="26"/>
    </row>
    <row r="3" spans="1:16">
      <c r="B3" s="24" t="str">
        <f>+IF('Data Entry'!G8="Please Select","",'Data Entry'!G8)</f>
        <v>1</v>
      </c>
      <c r="C3" s="833" t="str">
        <f>+IF('Data Entry'!I8="Please Select","",'Data Entry'!I8)</f>
        <v>New Funding Model</v>
      </c>
      <c r="D3" s="833"/>
      <c r="E3" s="834"/>
      <c r="F3" s="834"/>
      <c r="G3" s="834"/>
      <c r="H3" s="834"/>
      <c r="I3" s="834"/>
      <c r="J3" s="842" t="str">
        <f>+'Data Entry'!B16</f>
        <v>Report Period:</v>
      </c>
      <c r="K3" s="842"/>
      <c r="L3" s="198" t="str">
        <f>+'Data Entry'!C16</f>
        <v>P4</v>
      </c>
    </row>
    <row r="4" spans="1:16">
      <c r="B4" s="24" t="str">
        <f>+'Data Entry'!B12</f>
        <v>Latest Rating:</v>
      </c>
      <c r="C4" s="784" t="str">
        <f>+IF('Data Entry'!C12="Please Select","",'Data Entry'!C12)</f>
        <v>A2</v>
      </c>
      <c r="D4" s="784"/>
      <c r="E4" s="834" t="str">
        <f>+'Data Entry'!C8</f>
        <v>AngloGold Asanti (Ghana) Malaria Ltd</v>
      </c>
      <c r="F4" s="834"/>
      <c r="G4" s="834"/>
      <c r="H4" s="834"/>
      <c r="I4" s="834"/>
      <c r="J4" s="842" t="str">
        <f>+'Data Entry'!D16</f>
        <v>From:</v>
      </c>
      <c r="K4" s="843"/>
      <c r="L4" s="200">
        <f>+IF(ISBLANK('Data Entry'!E16),"",'Data Entry'!E16)</f>
        <v>42278</v>
      </c>
    </row>
    <row r="5" spans="1:16" ht="18.75" customHeight="1">
      <c r="B5" s="24"/>
      <c r="C5" s="24"/>
      <c r="D5" s="834" t="str">
        <f>+'Data Entry'!G4</f>
        <v>Accelerating Access -- Home-Based Care &amp; Indoor Residual Spraying</v>
      </c>
      <c r="E5" s="834"/>
      <c r="F5" s="834"/>
      <c r="G5" s="834"/>
      <c r="H5" s="834"/>
      <c r="I5" s="834"/>
      <c r="J5" s="834"/>
      <c r="K5" s="24" t="str">
        <f>+'Data Entry'!F16</f>
        <v>To:</v>
      </c>
      <c r="L5" s="200">
        <f>+IF(ISBLANK('Data Entry'!G16),"",'Data Entry'!G16)</f>
        <v>42369</v>
      </c>
    </row>
    <row r="6" spans="1:16" ht="18.75">
      <c r="B6" s="23"/>
      <c r="C6" s="24"/>
      <c r="D6" s="25"/>
      <c r="E6" s="839" t="s">
        <v>76</v>
      </c>
      <c r="F6" s="839"/>
      <c r="G6" s="839"/>
      <c r="H6" s="839"/>
      <c r="I6" s="839"/>
    </row>
    <row r="7" spans="1:16">
      <c r="B7" s="346" t="str">
        <f>+'Data Entry'!B73&amp;"                "&amp;+J3&amp;" "&amp;+L3</f>
        <v>M1: Status of Conditions Precedent (CPs) and Time Bound Actions (TBAs)                Report Period: P4</v>
      </c>
      <c r="C7" s="21"/>
      <c r="H7" s="346" t="str">
        <f>+'Data Entry'!B80&amp;"                                                                             "&amp;+J3&amp;"  "&amp;+L3</f>
        <v>M2: Status of key PR management positions                                                                             Report Period:  P4</v>
      </c>
    </row>
    <row r="8" spans="1:16" ht="26.25" customHeight="1">
      <c r="B8" s="326" t="s">
        <v>16</v>
      </c>
      <c r="C8" s="786"/>
      <c r="D8" s="787"/>
      <c r="E8" s="787"/>
      <c r="F8" s="788"/>
      <c r="G8" s="347"/>
      <c r="H8" s="325" t="s">
        <v>16</v>
      </c>
      <c r="I8" s="786"/>
      <c r="J8" s="776"/>
      <c r="K8" s="776"/>
      <c r="L8" s="785"/>
    </row>
    <row r="9" spans="1:16">
      <c r="B9" s="19"/>
      <c r="C9" s="19"/>
      <c r="D9" s="19"/>
      <c r="E9" s="19"/>
      <c r="F9" s="19"/>
      <c r="G9" s="19"/>
      <c r="H9" s="19"/>
    </row>
    <row r="10" spans="1:16">
      <c r="A10" s="47"/>
      <c r="B10" s="19"/>
      <c r="C10" s="19"/>
      <c r="D10" s="838"/>
      <c r="E10" s="840"/>
      <c r="F10" s="840"/>
      <c r="G10" s="207"/>
      <c r="H10" s="19"/>
      <c r="N10" s="49"/>
      <c r="O10" s="49"/>
      <c r="P10" s="48"/>
    </row>
    <row r="11" spans="1:16">
      <c r="B11" s="19"/>
      <c r="C11" s="28"/>
      <c r="D11" s="838"/>
      <c r="E11" s="28"/>
      <c r="F11" s="28"/>
      <c r="G11" s="28"/>
      <c r="H11" s="28" t="s">
        <v>471</v>
      </c>
      <c r="N11" s="19"/>
      <c r="O11" s="19"/>
    </row>
    <row r="12" spans="1:16">
      <c r="B12" s="28"/>
      <c r="C12" s="79"/>
      <c r="D12" s="80"/>
      <c r="E12" s="80"/>
      <c r="F12" s="80"/>
      <c r="G12" s="80"/>
      <c r="H12" s="81"/>
    </row>
    <row r="13" spans="1:16">
      <c r="B13" s="28"/>
      <c r="C13" s="79"/>
      <c r="D13" s="80"/>
      <c r="E13" s="80"/>
      <c r="F13" s="80"/>
      <c r="G13" s="80"/>
      <c r="H13" s="81"/>
    </row>
    <row r="15" spans="1:16" ht="27.75" customHeight="1">
      <c r="B15" s="346" t="str">
        <f>+'Data Entry'!B85&amp;"                                                                                                  "&amp;+J3&amp;" "&amp;+L3</f>
        <v>M3: Contractual arrangements (SRs)                                                                                                   Report Period: P4</v>
      </c>
      <c r="H15" s="346" t="str">
        <f>+'Data Entry'!B90&amp;"                  "&amp;+J3&amp;" "&amp;+L3</f>
        <v>M4: Number of complete reports received on time, this reporting period                  Report Period: P4</v>
      </c>
    </row>
    <row r="16" spans="1:16">
      <c r="B16" s="326" t="s">
        <v>16</v>
      </c>
      <c r="C16" s="786"/>
      <c r="D16" s="776"/>
      <c r="E16" s="776"/>
      <c r="F16" s="785"/>
      <c r="G16" s="347"/>
      <c r="H16" s="325" t="s">
        <v>16</v>
      </c>
      <c r="I16" s="786"/>
      <c r="J16" s="787"/>
      <c r="K16" s="787"/>
      <c r="L16" s="788"/>
    </row>
    <row r="17" spans="2:13">
      <c r="B17" s="29"/>
      <c r="H17" s="30"/>
    </row>
    <row r="18" spans="2:13">
      <c r="M18" s="83"/>
    </row>
    <row r="26" spans="2:13">
      <c r="B26" s="346" t="str">
        <f>+'Data Entry'!B96</f>
        <v>M5: Budget and Procurement of health products, health equipment, medicines and pharmaceuticals</v>
      </c>
      <c r="H26" s="346" t="str">
        <f>+'Data Entry'!B109&amp;"                                                                "&amp;+J3&amp;"  "&amp;+L3</f>
        <v>M6: Difference between current and safety stock                                                                Report Period:  P4</v>
      </c>
    </row>
    <row r="27" spans="2:13" ht="60" customHeight="1">
      <c r="B27" s="324" t="s">
        <v>16</v>
      </c>
      <c r="C27" s="832" t="s">
        <v>507</v>
      </c>
      <c r="D27" s="776"/>
      <c r="E27" s="776"/>
      <c r="F27" s="785"/>
      <c r="G27" s="347"/>
      <c r="H27" s="325" t="s">
        <v>16</v>
      </c>
      <c r="I27" s="786"/>
      <c r="J27" s="787"/>
      <c r="K27" s="787"/>
      <c r="L27" s="788"/>
    </row>
    <row r="28" spans="2:13" ht="15.75" thickBot="1"/>
    <row r="29" spans="2:13" ht="44.25" customHeight="1">
      <c r="F29" s="309"/>
      <c r="G29" s="309"/>
      <c r="H29" s="219" t="s">
        <v>40</v>
      </c>
      <c r="I29" s="306" t="s">
        <v>86</v>
      </c>
      <c r="J29" s="322" t="s">
        <v>332</v>
      </c>
      <c r="K29" s="218" t="s">
        <v>327</v>
      </c>
      <c r="L29" s="307" t="s">
        <v>326</v>
      </c>
    </row>
    <row r="30" spans="2:13" ht="15" customHeight="1">
      <c r="F30" s="309"/>
      <c r="G30" s="309"/>
      <c r="H30" s="835" t="str">
        <f>+'Data Entry'!B112</f>
        <v>MALARIA</v>
      </c>
      <c r="I30" s="308" t="str">
        <f>+'Data Entry'!C112</f>
        <v>AS/MQ</v>
      </c>
      <c r="J30" s="310" t="str">
        <f>+'Data Entry'!I112</f>
        <v/>
      </c>
      <c r="K30" s="303">
        <f>+'Data Entry'!J112</f>
        <v>0</v>
      </c>
      <c r="L30" s="386" t="str">
        <f>+'Data Entry'!K112</f>
        <v/>
      </c>
    </row>
    <row r="31" spans="2:13">
      <c r="F31" s="309"/>
      <c r="G31" s="309"/>
      <c r="H31" s="836"/>
      <c r="I31" s="308" t="str">
        <f>+'Data Entry'!C113</f>
        <v>Al/Lum</v>
      </c>
      <c r="J31" s="310" t="str">
        <f>+'Data Entry'!I113</f>
        <v/>
      </c>
      <c r="K31" s="303">
        <f>+'Data Entry'!J113</f>
        <v>0</v>
      </c>
      <c r="L31" s="387" t="str">
        <f>+'Data Entry'!K113</f>
        <v/>
      </c>
    </row>
    <row r="32" spans="2:13">
      <c r="F32" s="309"/>
      <c r="G32" s="309"/>
      <c r="H32" s="836"/>
      <c r="I32" s="470">
        <f>+'Data Entry'!C114</f>
        <v>0</v>
      </c>
      <c r="J32" s="471" t="str">
        <f>+'Data Entry'!I114</f>
        <v/>
      </c>
      <c r="K32" s="472">
        <f>+'Data Entry'!J114</f>
        <v>0</v>
      </c>
      <c r="L32" s="476" t="str">
        <f>+'Data Entry'!K114</f>
        <v/>
      </c>
    </row>
    <row r="33" spans="2:12" ht="15.75" thickBot="1">
      <c r="F33" s="309"/>
      <c r="G33" s="309"/>
      <c r="H33" s="837"/>
      <c r="I33" s="473">
        <f>+'Data Entry'!C115</f>
        <v>0</v>
      </c>
      <c r="J33" s="474" t="str">
        <f>+'Data Entry'!I115</f>
        <v/>
      </c>
      <c r="K33" s="475">
        <f>+'Data Entry'!J115</f>
        <v>0</v>
      </c>
      <c r="L33" s="476" t="str">
        <f>+'Data Entry'!K115</f>
        <v/>
      </c>
    </row>
    <row r="34" spans="2:12" ht="24.75" customHeight="1">
      <c r="B34" s="831" t="str">
        <f>+'Data Entry'!B106</f>
        <v>* Includes only EFR category 4 and 5  (Health products and health equipment &amp; Medicines and Pharmaceuticals)</v>
      </c>
      <c r="C34" s="831"/>
      <c r="D34" s="831"/>
      <c r="E34" s="831"/>
      <c r="F34" s="19"/>
      <c r="G34" s="19"/>
      <c r="H34" s="215"/>
      <c r="I34" s="216"/>
      <c r="J34" s="217"/>
      <c r="K34" s="207"/>
      <c r="L34" s="20"/>
    </row>
    <row r="35" spans="2:12">
      <c r="F35" s="19"/>
      <c r="G35" s="19"/>
      <c r="H35" s="19"/>
      <c r="I35" s="19"/>
      <c r="J35" s="19"/>
      <c r="K35" s="19"/>
      <c r="L35" s="19"/>
    </row>
  </sheetData>
  <mergeCells count="19">
    <mergeCell ref="B2:L2"/>
    <mergeCell ref="C4:D4"/>
    <mergeCell ref="E3:I3"/>
    <mergeCell ref="J3:K3"/>
    <mergeCell ref="J4:K4"/>
    <mergeCell ref="B34:E34"/>
    <mergeCell ref="C27:F27"/>
    <mergeCell ref="C3:D3"/>
    <mergeCell ref="E4:I4"/>
    <mergeCell ref="H30:H33"/>
    <mergeCell ref="I8:L8"/>
    <mergeCell ref="D5:J5"/>
    <mergeCell ref="I16:L16"/>
    <mergeCell ref="I27:L27"/>
    <mergeCell ref="D10:D11"/>
    <mergeCell ref="E6:I6"/>
    <mergeCell ref="C16:F16"/>
    <mergeCell ref="E10:F10"/>
    <mergeCell ref="C8:F8"/>
  </mergeCells>
  <phoneticPr fontId="31" type="noConversion"/>
  <conditionalFormatting sqref="D12:D13">
    <cfRule type="cellIs" dxfId="17" priority="1" stopIfTrue="1" operator="greaterThan">
      <formula>0</formula>
    </cfRule>
  </conditionalFormatting>
  <conditionalFormatting sqref="E12:E13">
    <cfRule type="cellIs" dxfId="16" priority="2" stopIfTrue="1" operator="greaterThan">
      <formula>0</formula>
    </cfRule>
  </conditionalFormatting>
  <conditionalFormatting sqref="F12:G13">
    <cfRule type="cellIs" dxfId="15" priority="3" stopIfTrue="1" operator="greaterThan">
      <formula>0</formula>
    </cfRule>
  </conditionalFormatting>
  <conditionalFormatting sqref="C4:D4">
    <cfRule type="cellIs" dxfId="14" priority="4" stopIfTrue="1" operator="equal">
      <formula>"C"</formula>
    </cfRule>
    <cfRule type="cellIs" dxfId="13" priority="5" stopIfTrue="1" operator="equal">
      <formula>"B2"</formula>
    </cfRule>
    <cfRule type="cellIs" dxfId="12" priority="6" stopIfTrue="1" operator="equal">
      <formula>"B1"</formula>
    </cfRule>
  </conditionalFormatting>
  <conditionalFormatting sqref="L30 L32:L33">
    <cfRule type="cellIs" dxfId="11" priority="13" stopIfTrue="1" operator="lessThan">
      <formula>1</formula>
    </cfRule>
    <cfRule type="cellIs" dxfId="10" priority="14" stopIfTrue="1" operator="between">
      <formula>3</formula>
      <formula>17</formula>
    </cfRule>
    <cfRule type="cellIs" dxfId="9" priority="15" stopIfTrue="1" operator="between">
      <formula>1</formula>
      <formula>3</formula>
    </cfRule>
  </conditionalFormatting>
  <conditionalFormatting sqref="L31">
    <cfRule type="cellIs" dxfId="8" priority="16" stopIfTrue="1" operator="lessThan">
      <formula>1</formula>
    </cfRule>
    <cfRule type="cellIs" dxfId="7" priority="17" stopIfTrue="1" operator="between">
      <formula>3</formula>
      <formula>100</formula>
    </cfRule>
    <cfRule type="cellIs" dxfId="6"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headerFooter alignWithMargins="0">
    <oddFooter>&amp;L&amp;F&amp;C&amp;A&amp;RV1.0          &amp;D</oddFooter>
  </headerFooter>
  <colBreaks count="1" manualBreakCount="1">
    <brk id="12" max="33"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1" zoomScaleNormal="110" zoomScaleSheetLayoutView="100" zoomScalePageLayoutView="110" workbookViewId="0">
      <selection activeCell="B32" sqref="B32:E3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841" t="str">
        <f>'Grant Detail'!B3:J3</f>
        <v>Dashboard:  Ghana - MALARIA  (AngloGold Asanti (Ghana) Malaria Ltd)</v>
      </c>
      <c r="C2" s="841"/>
      <c r="D2" s="841"/>
      <c r="E2" s="841"/>
      <c r="F2" s="841"/>
      <c r="G2" s="841"/>
      <c r="H2" s="841"/>
      <c r="I2" s="841"/>
      <c r="J2" s="841"/>
      <c r="K2" s="841"/>
      <c r="L2" s="841"/>
    </row>
    <row r="3" spans="1:13">
      <c r="B3" s="24" t="str">
        <f>+IF('Data Entry'!G8="Please Select","",'Data Entry'!G8)</f>
        <v>1</v>
      </c>
      <c r="C3" s="833" t="str">
        <f>+IF('Data Entry'!I8="Please Select","",'Data Entry'!I8)</f>
        <v>New Funding Model</v>
      </c>
      <c r="D3" s="833"/>
      <c r="E3" s="834"/>
      <c r="F3" s="834"/>
      <c r="G3" s="834"/>
      <c r="H3" s="834"/>
      <c r="I3" s="834"/>
      <c r="J3" s="842" t="str">
        <f>+'Data Entry'!B16</f>
        <v>Report Period:</v>
      </c>
      <c r="K3" s="842"/>
      <c r="L3" s="199" t="str">
        <f>+'Data Entry'!C16</f>
        <v>P4</v>
      </c>
      <c r="M3" s="85"/>
    </row>
    <row r="4" spans="1:13">
      <c r="B4" s="24" t="str">
        <f>+'Data Entry'!B12</f>
        <v>Latest Rating:</v>
      </c>
      <c r="C4" s="864" t="str">
        <f>+IF('Data Entry'!C12="Please Select","",'Data Entry'!C12)</f>
        <v>A2</v>
      </c>
      <c r="D4" s="864"/>
      <c r="E4" s="834" t="str">
        <f>+'Data Entry'!C8</f>
        <v>AngloGold Asanti (Ghana) Malaria Ltd</v>
      </c>
      <c r="F4" s="834"/>
      <c r="G4" s="834"/>
      <c r="H4" s="834"/>
      <c r="I4" s="834"/>
      <c r="J4" s="842" t="str">
        <f>+'Data Entry'!D16</f>
        <v>From:</v>
      </c>
      <c r="K4" s="843"/>
      <c r="L4" s="200">
        <f>+IF(ISBLANK('Data Entry'!E16),"",'Data Entry'!E16)</f>
        <v>42278</v>
      </c>
    </row>
    <row r="5" spans="1:13" ht="18.75" customHeight="1">
      <c r="B5" s="24"/>
      <c r="C5" s="24"/>
      <c r="D5" s="834" t="str">
        <f>+'Data Entry'!G4</f>
        <v>Accelerating Access -- Home-Based Care &amp; Indoor Residual Spraying</v>
      </c>
      <c r="E5" s="834"/>
      <c r="F5" s="834"/>
      <c r="G5" s="834"/>
      <c r="H5" s="834"/>
      <c r="I5" s="834"/>
      <c r="J5" s="834"/>
      <c r="K5" s="24" t="str">
        <f>+'Data Entry'!F16</f>
        <v>To:</v>
      </c>
      <c r="L5" s="200">
        <f>+IF(ISBLANK('Data Entry'!G16),"",'Data Entry'!G16)</f>
        <v>42369</v>
      </c>
    </row>
    <row r="6" spans="1:13" ht="18.75">
      <c r="B6" s="23"/>
      <c r="C6" s="24"/>
      <c r="D6" s="25"/>
      <c r="E6" s="839" t="s">
        <v>354</v>
      </c>
      <c r="F6" s="839"/>
      <c r="G6" s="839"/>
      <c r="H6" s="839"/>
      <c r="I6" s="839"/>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67"/>
      <c r="C10" s="868"/>
      <c r="D10" s="868"/>
      <c r="E10" s="868"/>
      <c r="F10" s="868"/>
      <c r="G10" s="868"/>
      <c r="H10" s="868"/>
      <c r="I10" s="868"/>
      <c r="J10" s="868"/>
      <c r="K10" s="868"/>
      <c r="L10" s="869"/>
    </row>
    <row r="11" spans="1:13">
      <c r="B11" s="870"/>
      <c r="C11" s="871"/>
      <c r="D11" s="871"/>
      <c r="E11" s="871"/>
      <c r="F11" s="871"/>
      <c r="G11" s="871"/>
      <c r="H11" s="871"/>
      <c r="I11" s="871"/>
      <c r="J11" s="871"/>
      <c r="K11" s="871"/>
      <c r="L11" s="872"/>
    </row>
    <row r="12" spans="1:13" ht="15.75" thickBot="1"/>
    <row r="13" spans="1:13" ht="26.25" customHeight="1" thickBot="1">
      <c r="B13" s="873" t="s">
        <v>307</v>
      </c>
      <c r="C13" s="874"/>
      <c r="D13" s="874"/>
      <c r="E13" s="875"/>
      <c r="F13" s="77"/>
      <c r="G13" s="876" t="s">
        <v>134</v>
      </c>
      <c r="H13" s="846"/>
      <c r="I13" s="846"/>
      <c r="J13" s="78" t="s">
        <v>103</v>
      </c>
      <c r="K13" s="846" t="s">
        <v>296</v>
      </c>
      <c r="L13" s="847"/>
    </row>
    <row r="14" spans="1:13">
      <c r="A14" s="882" t="s">
        <v>308</v>
      </c>
      <c r="B14" s="856"/>
      <c r="C14" s="856"/>
      <c r="D14" s="856"/>
      <c r="E14" s="857"/>
      <c r="F14" s="46"/>
      <c r="G14" s="885"/>
      <c r="H14" s="865"/>
      <c r="I14" s="865"/>
      <c r="J14" s="865"/>
      <c r="K14" s="865"/>
      <c r="L14" s="866"/>
    </row>
    <row r="15" spans="1:13">
      <c r="A15" s="883"/>
      <c r="B15" s="856"/>
      <c r="C15" s="856"/>
      <c r="D15" s="856"/>
      <c r="E15" s="857"/>
      <c r="F15" s="46"/>
      <c r="G15" s="886"/>
      <c r="H15" s="852"/>
      <c r="I15" s="852"/>
      <c r="J15" s="852"/>
      <c r="K15" s="852"/>
      <c r="L15" s="853"/>
    </row>
    <row r="16" spans="1:13">
      <c r="A16" s="883"/>
      <c r="B16" s="856"/>
      <c r="C16" s="856"/>
      <c r="D16" s="856"/>
      <c r="E16" s="857"/>
      <c r="F16" s="46"/>
      <c r="G16" s="886"/>
      <c r="H16" s="852"/>
      <c r="I16" s="852"/>
      <c r="J16" s="852"/>
      <c r="K16" s="852"/>
      <c r="L16" s="853"/>
    </row>
    <row r="17" spans="1:12">
      <c r="A17" s="883"/>
      <c r="B17" s="856"/>
      <c r="C17" s="856"/>
      <c r="D17" s="856"/>
      <c r="E17" s="857"/>
      <c r="F17" s="46"/>
      <c r="G17" s="886"/>
      <c r="H17" s="852"/>
      <c r="I17" s="852"/>
      <c r="J17" s="852"/>
      <c r="K17" s="852"/>
      <c r="L17" s="853"/>
    </row>
    <row r="18" spans="1:12">
      <c r="A18" s="883"/>
      <c r="B18" s="856"/>
      <c r="C18" s="856"/>
      <c r="D18" s="856"/>
      <c r="E18" s="857"/>
      <c r="F18" s="46"/>
      <c r="G18" s="858"/>
      <c r="H18" s="859"/>
      <c r="I18" s="860"/>
      <c r="J18" s="852"/>
      <c r="K18" s="852"/>
      <c r="L18" s="853"/>
    </row>
    <row r="19" spans="1:12" ht="30.75" customHeight="1">
      <c r="A19" s="883"/>
      <c r="B19" s="856"/>
      <c r="C19" s="856"/>
      <c r="D19" s="856"/>
      <c r="E19" s="857"/>
      <c r="F19" s="46"/>
      <c r="G19" s="861"/>
      <c r="H19" s="862"/>
      <c r="I19" s="863"/>
      <c r="J19" s="852"/>
      <c r="K19" s="852"/>
      <c r="L19" s="853"/>
    </row>
    <row r="20" spans="1:12">
      <c r="A20" s="883"/>
      <c r="B20" s="856"/>
      <c r="C20" s="856"/>
      <c r="D20" s="856"/>
      <c r="E20" s="857"/>
      <c r="F20" s="46"/>
      <c r="G20" s="886"/>
      <c r="H20" s="852"/>
      <c r="I20" s="852"/>
      <c r="J20" s="852"/>
      <c r="K20" s="852"/>
      <c r="L20" s="853"/>
    </row>
    <row r="21" spans="1:12">
      <c r="A21" s="883"/>
      <c r="B21" s="856"/>
      <c r="C21" s="856"/>
      <c r="D21" s="856"/>
      <c r="E21" s="857"/>
      <c r="F21" s="46"/>
      <c r="G21" s="886"/>
      <c r="H21" s="852"/>
      <c r="I21" s="852"/>
      <c r="J21" s="852"/>
      <c r="K21" s="852"/>
      <c r="L21" s="853"/>
    </row>
    <row r="22" spans="1:12">
      <c r="A22" s="883"/>
      <c r="B22" s="856"/>
      <c r="C22" s="856"/>
      <c r="D22" s="856"/>
      <c r="E22" s="857"/>
      <c r="F22" s="46"/>
      <c r="G22" s="886"/>
      <c r="H22" s="852"/>
      <c r="I22" s="852"/>
      <c r="J22" s="852"/>
      <c r="K22" s="852"/>
      <c r="L22" s="853"/>
    </row>
    <row r="23" spans="1:12">
      <c r="A23" s="883"/>
      <c r="B23" s="856"/>
      <c r="C23" s="856"/>
      <c r="D23" s="856"/>
      <c r="E23" s="857"/>
      <c r="F23" s="46"/>
      <c r="G23" s="886"/>
      <c r="H23" s="852"/>
      <c r="I23" s="852"/>
      <c r="J23" s="852"/>
      <c r="K23" s="852"/>
      <c r="L23" s="853"/>
    </row>
    <row r="24" spans="1:12">
      <c r="A24" s="883"/>
      <c r="B24" s="856"/>
      <c r="C24" s="856"/>
      <c r="D24" s="856"/>
      <c r="E24" s="857"/>
      <c r="F24" s="46"/>
      <c r="G24" s="886"/>
      <c r="H24" s="852"/>
      <c r="I24" s="852"/>
      <c r="J24" s="852"/>
      <c r="K24" s="852"/>
      <c r="L24" s="853"/>
    </row>
    <row r="25" spans="1:12" ht="15.75" thickBot="1">
      <c r="A25" s="884"/>
      <c r="B25" s="887"/>
      <c r="C25" s="887"/>
      <c r="D25" s="887"/>
      <c r="E25" s="888"/>
      <c r="F25" s="46"/>
      <c r="G25" s="890"/>
      <c r="H25" s="854"/>
      <c r="I25" s="854"/>
      <c r="J25" s="854"/>
      <c r="K25" s="854"/>
      <c r="L25" s="855"/>
    </row>
    <row r="27" spans="1:12" ht="18.75">
      <c r="E27" s="889" t="s">
        <v>330</v>
      </c>
      <c r="F27" s="889"/>
      <c r="G27" s="889"/>
      <c r="H27" s="889"/>
      <c r="I27" s="889"/>
    </row>
    <row r="28" spans="1:12" ht="6" customHeight="1">
      <c r="E28" s="72"/>
      <c r="F28" s="72"/>
      <c r="G28" s="72"/>
      <c r="H28" s="72"/>
      <c r="I28" s="72"/>
    </row>
    <row r="29" spans="1:12" s="33" customFormat="1" ht="21" customHeight="1" thickBot="1">
      <c r="B29" s="76" t="s">
        <v>384</v>
      </c>
      <c r="C29" s="76"/>
      <c r="D29" s="76"/>
      <c r="E29" s="76"/>
      <c r="F29" s="76"/>
      <c r="G29" s="76"/>
      <c r="H29" s="76"/>
      <c r="I29" s="76"/>
      <c r="J29" s="76"/>
      <c r="K29" s="76"/>
      <c r="L29" s="76"/>
    </row>
    <row r="30" spans="1:12" ht="6" customHeight="1" thickBot="1">
      <c r="B30" s="74"/>
    </row>
    <row r="31" spans="1:12" ht="21.75" customHeight="1" thickBot="1">
      <c r="B31" s="873" t="s">
        <v>134</v>
      </c>
      <c r="C31" s="874"/>
      <c r="D31" s="874"/>
      <c r="E31" s="875"/>
      <c r="F31" s="77"/>
      <c r="G31" s="876" t="s">
        <v>318</v>
      </c>
      <c r="H31" s="846"/>
      <c r="I31" s="846"/>
      <c r="J31" s="78" t="s">
        <v>298</v>
      </c>
      <c r="K31" s="846" t="s">
        <v>296</v>
      </c>
      <c r="L31" s="847"/>
    </row>
    <row r="32" spans="1:12" ht="14.25" customHeight="1">
      <c r="A32" s="882" t="s">
        <v>309</v>
      </c>
      <c r="B32" s="891"/>
      <c r="C32" s="892"/>
      <c r="D32" s="892"/>
      <c r="E32" s="893"/>
      <c r="F32" s="46"/>
      <c r="G32" s="898"/>
      <c r="H32" s="850"/>
      <c r="I32" s="850"/>
      <c r="J32" s="850"/>
      <c r="K32" s="850"/>
      <c r="L32" s="851"/>
    </row>
    <row r="33" spans="1:12" ht="16.5" customHeight="1">
      <c r="A33" s="883"/>
      <c r="B33" s="861"/>
      <c r="C33" s="862"/>
      <c r="D33" s="862"/>
      <c r="E33" s="894"/>
      <c r="F33" s="46"/>
      <c r="G33" s="877"/>
      <c r="H33" s="844"/>
      <c r="I33" s="844"/>
      <c r="J33" s="844"/>
      <c r="K33" s="844"/>
      <c r="L33" s="845"/>
    </row>
    <row r="34" spans="1:12">
      <c r="A34" s="883"/>
      <c r="B34" s="879" t="str">
        <f>IF(Recommendations!I43="","",Recommendations!I43)</f>
        <v/>
      </c>
      <c r="C34" s="880"/>
      <c r="D34" s="880"/>
      <c r="E34" s="881"/>
      <c r="F34" s="46"/>
      <c r="G34" s="877"/>
      <c r="H34" s="844"/>
      <c r="I34" s="844"/>
      <c r="J34" s="844"/>
      <c r="K34" s="844"/>
      <c r="L34" s="845"/>
    </row>
    <row r="35" spans="1:12">
      <c r="A35" s="883"/>
      <c r="B35" s="879"/>
      <c r="C35" s="880"/>
      <c r="D35" s="880"/>
      <c r="E35" s="881"/>
      <c r="F35" s="46"/>
      <c r="G35" s="877"/>
      <c r="H35" s="844"/>
      <c r="I35" s="844"/>
      <c r="J35" s="844"/>
      <c r="K35" s="844"/>
      <c r="L35" s="845"/>
    </row>
    <row r="36" spans="1:12">
      <c r="A36" s="883"/>
      <c r="B36" s="879" t="str">
        <f>+IF(Recommendations!I53="","",Recommendations!I53)</f>
        <v/>
      </c>
      <c r="C36" s="880"/>
      <c r="D36" s="880"/>
      <c r="E36" s="881"/>
      <c r="F36" s="46"/>
      <c r="G36" s="877"/>
      <c r="H36" s="844"/>
      <c r="I36" s="844"/>
      <c r="J36" s="844"/>
      <c r="K36" s="844"/>
      <c r="L36" s="845"/>
    </row>
    <row r="37" spans="1:12">
      <c r="A37" s="883"/>
      <c r="B37" s="879"/>
      <c r="C37" s="880"/>
      <c r="D37" s="880"/>
      <c r="E37" s="881"/>
      <c r="F37" s="46"/>
      <c r="G37" s="877"/>
      <c r="H37" s="844"/>
      <c r="I37" s="844"/>
      <c r="J37" s="844"/>
      <c r="K37" s="844"/>
      <c r="L37" s="845"/>
    </row>
    <row r="38" spans="1:12">
      <c r="A38" s="883"/>
      <c r="B38" s="879"/>
      <c r="C38" s="880"/>
      <c r="D38" s="880"/>
      <c r="E38" s="881"/>
      <c r="F38" s="46"/>
      <c r="G38" s="877"/>
      <c r="H38" s="844"/>
      <c r="I38" s="844"/>
      <c r="J38" s="844"/>
      <c r="K38" s="844"/>
      <c r="L38" s="845"/>
    </row>
    <row r="39" spans="1:12">
      <c r="A39" s="883"/>
      <c r="B39" s="879"/>
      <c r="C39" s="880"/>
      <c r="D39" s="880"/>
      <c r="E39" s="881"/>
      <c r="F39" s="46"/>
      <c r="G39" s="877"/>
      <c r="H39" s="844"/>
      <c r="I39" s="844"/>
      <c r="J39" s="844"/>
      <c r="K39" s="844"/>
      <c r="L39" s="845"/>
    </row>
    <row r="40" spans="1:12">
      <c r="A40" s="883"/>
      <c r="B40" s="879"/>
      <c r="C40" s="880"/>
      <c r="D40" s="880"/>
      <c r="E40" s="881"/>
      <c r="F40" s="46"/>
      <c r="G40" s="877"/>
      <c r="H40" s="844"/>
      <c r="I40" s="844"/>
      <c r="J40" s="844"/>
      <c r="K40" s="844"/>
      <c r="L40" s="845"/>
    </row>
    <row r="41" spans="1:12">
      <c r="A41" s="883"/>
      <c r="B41" s="879"/>
      <c r="C41" s="880"/>
      <c r="D41" s="880"/>
      <c r="E41" s="881"/>
      <c r="F41" s="46"/>
      <c r="G41" s="877"/>
      <c r="H41" s="844"/>
      <c r="I41" s="844"/>
      <c r="J41" s="844"/>
      <c r="K41" s="844"/>
      <c r="L41" s="845"/>
    </row>
    <row r="42" spans="1:12">
      <c r="A42" s="883"/>
      <c r="B42" s="879"/>
      <c r="C42" s="880"/>
      <c r="D42" s="880"/>
      <c r="E42" s="881"/>
      <c r="F42" s="46"/>
      <c r="G42" s="877"/>
      <c r="H42" s="844"/>
      <c r="I42" s="844"/>
      <c r="J42" s="844"/>
      <c r="K42" s="844"/>
      <c r="L42" s="845"/>
    </row>
    <row r="43" spans="1:12" ht="15.75" thickBot="1">
      <c r="A43" s="884"/>
      <c r="B43" s="895"/>
      <c r="C43" s="896"/>
      <c r="D43" s="896"/>
      <c r="E43" s="897"/>
      <c r="F43" s="46"/>
      <c r="G43" s="878"/>
      <c r="H43" s="848"/>
      <c r="I43" s="848"/>
      <c r="J43" s="848"/>
      <c r="K43" s="848"/>
      <c r="L43" s="849"/>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G32:I33"/>
    <mergeCell ref="B40:E41"/>
    <mergeCell ref="B20:E21"/>
    <mergeCell ref="B34:E35"/>
    <mergeCell ref="G34:I35"/>
    <mergeCell ref="B36:E37"/>
    <mergeCell ref="A14:A25"/>
    <mergeCell ref="J18:J19"/>
    <mergeCell ref="J16:J17"/>
    <mergeCell ref="J14:J15"/>
    <mergeCell ref="B16:E17"/>
    <mergeCell ref="G14:I15"/>
    <mergeCell ref="J24:J25"/>
    <mergeCell ref="B14:E15"/>
    <mergeCell ref="J22:J23"/>
    <mergeCell ref="G16:I17"/>
    <mergeCell ref="B24:E25"/>
    <mergeCell ref="J20:J21"/>
    <mergeCell ref="G42:I43"/>
    <mergeCell ref="G40:I41"/>
    <mergeCell ref="B38:E39"/>
    <mergeCell ref="J42:J43"/>
    <mergeCell ref="J34:J35"/>
    <mergeCell ref="J38:J39"/>
    <mergeCell ref="J40:J41"/>
    <mergeCell ref="J36:J37"/>
    <mergeCell ref="G36:I37"/>
    <mergeCell ref="B2:L2"/>
    <mergeCell ref="C4:D4"/>
    <mergeCell ref="K14:L15"/>
    <mergeCell ref="K16:L17"/>
    <mergeCell ref="E3:I3"/>
    <mergeCell ref="J3:K3"/>
    <mergeCell ref="E4:I4"/>
    <mergeCell ref="J4:K4"/>
    <mergeCell ref="B10:L11"/>
    <mergeCell ref="K13:L13"/>
    <mergeCell ref="E6:I6"/>
    <mergeCell ref="C3:D3"/>
    <mergeCell ref="D5:J5"/>
    <mergeCell ref="B13:E13"/>
    <mergeCell ref="G13:I13"/>
    <mergeCell ref="K24:L25"/>
    <mergeCell ref="J32:J33"/>
    <mergeCell ref="B18:E19"/>
    <mergeCell ref="B22:E23"/>
    <mergeCell ref="G18:I19"/>
    <mergeCell ref="K18:L19"/>
    <mergeCell ref="K22:L23"/>
    <mergeCell ref="K20:L21"/>
    <mergeCell ref="K34:L35"/>
    <mergeCell ref="K40:L41"/>
    <mergeCell ref="K31:L31"/>
    <mergeCell ref="K42:L43"/>
    <mergeCell ref="K36:L37"/>
    <mergeCell ref="K38:L39"/>
    <mergeCell ref="K32:L33"/>
  </mergeCells>
  <phoneticPr fontId="31"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F118"/>
  <sheetViews>
    <sheetView workbookViewId="0">
      <selection activeCell="F10" sqref="F10"/>
    </sheetView>
  </sheetViews>
  <sheetFormatPr defaultColWidth="8.85546875" defaultRowHeight="15"/>
  <cols>
    <col min="1" max="1" width="18.5703125" style="455" bestFit="1" customWidth="1"/>
    <col min="2" max="2" width="7.7109375" customWidth="1"/>
    <col min="3" max="3" width="18.140625" customWidth="1"/>
    <col min="5" max="5" width="5.7109375" customWidth="1"/>
    <col min="6" max="6" width="103.140625" customWidth="1"/>
  </cols>
  <sheetData>
    <row r="1" spans="1:6">
      <c r="A1" s="507" t="s">
        <v>433</v>
      </c>
      <c r="B1" s="480" t="str">
        <f>'Data Entry'!G8</f>
        <v>1</v>
      </c>
      <c r="D1" s="74" t="s">
        <v>402</v>
      </c>
    </row>
    <row r="2" spans="1:6">
      <c r="A2" s="507" t="s">
        <v>418</v>
      </c>
      <c r="F2" s="484" t="s">
        <v>434</v>
      </c>
    </row>
    <row r="3" spans="1:6" ht="25.5">
      <c r="A3" s="508" t="s">
        <v>403</v>
      </c>
      <c r="B3" s="456" t="s">
        <v>404</v>
      </c>
      <c r="C3" s="456" t="s">
        <v>405</v>
      </c>
      <c r="D3" s="456" t="s">
        <v>406</v>
      </c>
      <c r="E3" s="456" t="s">
        <v>407</v>
      </c>
      <c r="F3" s="456" t="s">
        <v>408</v>
      </c>
    </row>
    <row r="4" spans="1:6" s="499" customFormat="1" ht="63.75">
      <c r="A4" s="509" t="s">
        <v>453</v>
      </c>
      <c r="B4" s="498" t="s">
        <v>128</v>
      </c>
      <c r="C4" s="498" t="s">
        <v>454</v>
      </c>
      <c r="D4" s="498" t="s">
        <v>455</v>
      </c>
      <c r="E4" s="498">
        <v>1.1000000000000001</v>
      </c>
      <c r="F4" s="512" t="s">
        <v>456</v>
      </c>
    </row>
    <row r="5" spans="1:6">
      <c r="A5" s="510" t="s">
        <v>453</v>
      </c>
      <c r="B5" s="481" t="s">
        <v>128</v>
      </c>
      <c r="C5" s="481" t="s">
        <v>454</v>
      </c>
      <c r="D5" s="481" t="s">
        <v>401</v>
      </c>
      <c r="E5" s="481">
        <v>1.5</v>
      </c>
      <c r="F5" s="482" t="s">
        <v>457</v>
      </c>
    </row>
    <row r="6" spans="1:6">
      <c r="A6" s="513"/>
      <c r="B6" s="514"/>
      <c r="C6" s="514"/>
      <c r="D6" s="514"/>
      <c r="E6" s="514"/>
      <c r="F6" s="515"/>
    </row>
    <row r="7" spans="1:6" ht="63.75">
      <c r="A7" s="510" t="s">
        <v>458</v>
      </c>
      <c r="B7" s="481" t="s">
        <v>131</v>
      </c>
      <c r="C7" s="481" t="s">
        <v>454</v>
      </c>
      <c r="D7" s="481" t="s">
        <v>401</v>
      </c>
      <c r="E7" s="481">
        <v>1.1000000000000001</v>
      </c>
      <c r="F7" s="482" t="s">
        <v>460</v>
      </c>
    </row>
    <row r="8" spans="1:6" ht="25.5">
      <c r="A8" s="510" t="s">
        <v>458</v>
      </c>
      <c r="B8" s="481" t="s">
        <v>131</v>
      </c>
      <c r="C8" s="481" t="s">
        <v>454</v>
      </c>
      <c r="D8" s="481" t="s">
        <v>401</v>
      </c>
      <c r="E8" s="481">
        <v>1.5</v>
      </c>
      <c r="F8" s="482" t="s">
        <v>459</v>
      </c>
    </row>
    <row r="9" spans="1:6" ht="25.5">
      <c r="A9" s="510" t="s">
        <v>458</v>
      </c>
      <c r="B9" s="481" t="s">
        <v>131</v>
      </c>
      <c r="C9" s="481" t="s">
        <v>454</v>
      </c>
      <c r="D9" s="481" t="s">
        <v>401</v>
      </c>
      <c r="E9" s="481">
        <v>1.6</v>
      </c>
      <c r="F9" s="482" t="s">
        <v>461</v>
      </c>
    </row>
    <row r="10" spans="1:6" ht="51">
      <c r="A10" s="510">
        <f ca="1">TODAY()</f>
        <v>42435</v>
      </c>
      <c r="B10" s="481" t="s">
        <v>114</v>
      </c>
      <c r="C10" s="481" t="s">
        <v>502</v>
      </c>
      <c r="D10" s="481" t="s">
        <v>401</v>
      </c>
      <c r="E10" s="481"/>
      <c r="F10" s="482" t="s">
        <v>503</v>
      </c>
    </row>
    <row r="11" spans="1:6">
      <c r="A11" s="510"/>
      <c r="B11" s="481"/>
      <c r="C11" s="481"/>
      <c r="D11" s="481"/>
      <c r="E11" s="481"/>
      <c r="F11" s="482"/>
    </row>
    <row r="12" spans="1:6">
      <c r="A12" s="510"/>
      <c r="B12" s="481"/>
      <c r="C12" s="481"/>
      <c r="D12" s="481"/>
      <c r="E12" s="481"/>
      <c r="F12" s="482"/>
    </row>
    <row r="13" spans="1:6">
      <c r="A13" s="510"/>
      <c r="B13" s="481"/>
      <c r="C13" s="481"/>
      <c r="D13" s="481"/>
      <c r="E13" s="481"/>
      <c r="F13" s="482"/>
    </row>
    <row r="14" spans="1:6">
      <c r="A14" s="510"/>
      <c r="B14" s="481"/>
      <c r="C14" s="481"/>
      <c r="D14" s="481"/>
      <c r="E14" s="481"/>
      <c r="F14" s="482"/>
    </row>
    <row r="15" spans="1:6">
      <c r="A15" s="510"/>
      <c r="B15" s="481"/>
      <c r="C15" s="481"/>
      <c r="D15" s="481"/>
      <c r="E15" s="481"/>
      <c r="F15" s="482"/>
    </row>
    <row r="16" spans="1:6">
      <c r="A16" s="510"/>
      <c r="B16" s="481"/>
      <c r="C16" s="481"/>
      <c r="D16" s="481"/>
      <c r="E16" s="481"/>
      <c r="F16" s="482"/>
    </row>
    <row r="17" spans="1:6">
      <c r="A17" s="510"/>
      <c r="B17" s="481"/>
      <c r="C17" s="481"/>
      <c r="D17" s="481"/>
      <c r="E17" s="481"/>
      <c r="F17" s="482"/>
    </row>
    <row r="18" spans="1:6">
      <c r="A18" s="510"/>
      <c r="B18" s="481"/>
      <c r="C18" s="481"/>
      <c r="D18" s="481"/>
      <c r="E18" s="481"/>
      <c r="F18" s="482"/>
    </row>
    <row r="19" spans="1:6">
      <c r="A19" s="510"/>
      <c r="B19" s="481"/>
      <c r="C19" s="481"/>
      <c r="D19" s="481"/>
      <c r="E19" s="481"/>
      <c r="F19" s="482"/>
    </row>
    <row r="20" spans="1:6">
      <c r="A20" s="510"/>
      <c r="B20" s="481"/>
      <c r="C20" s="481"/>
      <c r="D20" s="481"/>
      <c r="E20" s="481"/>
      <c r="F20" s="482"/>
    </row>
    <row r="21" spans="1:6">
      <c r="A21" s="510"/>
      <c r="B21" s="481"/>
      <c r="C21" s="481"/>
      <c r="D21" s="481"/>
      <c r="E21" s="481"/>
      <c r="F21" s="482"/>
    </row>
    <row r="22" spans="1:6">
      <c r="A22" s="510"/>
      <c r="B22" s="481"/>
      <c r="C22" s="481"/>
      <c r="D22" s="481"/>
      <c r="E22" s="481"/>
      <c r="F22" s="482"/>
    </row>
    <row r="23" spans="1:6">
      <c r="A23" s="510"/>
      <c r="B23" s="481"/>
      <c r="C23" s="481"/>
      <c r="D23" s="481"/>
      <c r="E23" s="481"/>
      <c r="F23" s="482"/>
    </row>
    <row r="24" spans="1:6">
      <c r="A24" s="510"/>
      <c r="B24" s="481"/>
      <c r="C24" s="481"/>
      <c r="D24" s="481"/>
      <c r="E24" s="481"/>
      <c r="F24" s="482"/>
    </row>
    <row r="25" spans="1:6">
      <c r="A25" s="510"/>
      <c r="B25" s="481"/>
      <c r="C25" s="481"/>
      <c r="D25" s="481"/>
      <c r="E25" s="481"/>
      <c r="F25" s="482"/>
    </row>
    <row r="26" spans="1:6">
      <c r="A26" s="510"/>
      <c r="B26" s="481"/>
      <c r="C26" s="481"/>
      <c r="D26" s="481"/>
      <c r="E26" s="481"/>
      <c r="F26" s="482"/>
    </row>
    <row r="27" spans="1:6">
      <c r="A27" s="510"/>
      <c r="B27" s="481"/>
      <c r="C27" s="481"/>
      <c r="D27" s="481"/>
      <c r="E27" s="481"/>
      <c r="F27" s="482"/>
    </row>
    <row r="28" spans="1:6">
      <c r="A28" s="510"/>
      <c r="B28" s="481"/>
      <c r="C28" s="481"/>
      <c r="D28" s="481"/>
      <c r="E28" s="481"/>
      <c r="F28" s="482"/>
    </row>
    <row r="29" spans="1:6">
      <c r="A29" s="510"/>
      <c r="B29" s="481"/>
      <c r="C29" s="481"/>
      <c r="D29" s="481"/>
      <c r="E29" s="481"/>
      <c r="F29" s="482"/>
    </row>
    <row r="30" spans="1:6">
      <c r="A30" s="510"/>
      <c r="B30" s="481"/>
      <c r="C30" s="481"/>
      <c r="D30" s="481"/>
      <c r="E30" s="481"/>
      <c r="F30" s="482"/>
    </row>
    <row r="31" spans="1:6">
      <c r="A31" s="510"/>
      <c r="B31" s="481"/>
      <c r="C31" s="481"/>
      <c r="D31" s="481"/>
      <c r="E31" s="481"/>
      <c r="F31" s="482"/>
    </row>
    <row r="32" spans="1:6">
      <c r="A32" s="510"/>
      <c r="B32" s="481"/>
      <c r="C32" s="481"/>
      <c r="D32" s="481"/>
      <c r="E32" s="481"/>
      <c r="F32" s="482"/>
    </row>
    <row r="33" spans="1:6">
      <c r="A33" s="511"/>
      <c r="B33" s="483"/>
      <c r="C33" s="483"/>
      <c r="D33" s="483"/>
      <c r="E33" s="483"/>
      <c r="F33" s="483"/>
    </row>
    <row r="34" spans="1:6">
      <c r="A34" s="511"/>
      <c r="B34" s="483"/>
      <c r="C34" s="483"/>
      <c r="D34" s="483"/>
      <c r="E34" s="483"/>
      <c r="F34" s="483"/>
    </row>
    <row r="35" spans="1:6">
      <c r="A35" s="511"/>
      <c r="B35" s="483"/>
      <c r="C35" s="483"/>
      <c r="D35" s="483"/>
      <c r="E35" s="483"/>
      <c r="F35" s="483"/>
    </row>
    <row r="36" spans="1:6">
      <c r="A36" s="511"/>
      <c r="B36" s="483"/>
      <c r="C36" s="483"/>
      <c r="D36" s="483"/>
      <c r="E36" s="483"/>
      <c r="F36" s="483"/>
    </row>
    <row r="37" spans="1:6">
      <c r="A37" s="511"/>
      <c r="B37" s="483"/>
      <c r="C37" s="483"/>
      <c r="D37" s="483"/>
      <c r="E37" s="483"/>
      <c r="F37" s="483"/>
    </row>
    <row r="38" spans="1:6">
      <c r="A38" s="511"/>
      <c r="B38" s="483"/>
      <c r="C38" s="483"/>
      <c r="D38" s="483"/>
      <c r="E38" s="483"/>
      <c r="F38" s="483"/>
    </row>
    <row r="39" spans="1:6">
      <c r="A39" s="511"/>
      <c r="B39" s="483"/>
      <c r="C39" s="483"/>
      <c r="D39" s="483"/>
      <c r="E39" s="483"/>
      <c r="F39" s="483"/>
    </row>
    <row r="40" spans="1:6">
      <c r="A40" s="511"/>
      <c r="B40" s="483"/>
      <c r="C40" s="483"/>
      <c r="D40" s="483"/>
      <c r="E40" s="483"/>
      <c r="F40" s="483"/>
    </row>
    <row r="41" spans="1:6">
      <c r="A41" s="511"/>
      <c r="B41" s="483"/>
      <c r="C41" s="483"/>
      <c r="D41" s="483"/>
      <c r="E41" s="483"/>
      <c r="F41" s="483"/>
    </row>
    <row r="42" spans="1:6">
      <c r="A42" s="511"/>
      <c r="B42" s="483"/>
      <c r="C42" s="483"/>
      <c r="D42" s="483"/>
      <c r="E42" s="483"/>
      <c r="F42" s="483"/>
    </row>
    <row r="43" spans="1:6">
      <c r="A43" s="511"/>
      <c r="B43" s="483"/>
      <c r="C43" s="483"/>
      <c r="D43" s="483"/>
      <c r="E43" s="483"/>
      <c r="F43" s="483"/>
    </row>
    <row r="44" spans="1:6">
      <c r="A44" s="511"/>
      <c r="B44" s="483"/>
      <c r="C44" s="483"/>
      <c r="D44" s="483"/>
      <c r="E44" s="483"/>
      <c r="F44" s="483"/>
    </row>
    <row r="45" spans="1:6">
      <c r="A45" s="511"/>
      <c r="B45" s="483"/>
      <c r="C45" s="483"/>
      <c r="D45" s="483"/>
      <c r="E45" s="483"/>
      <c r="F45" s="483"/>
    </row>
    <row r="46" spans="1:6">
      <c r="A46" s="511"/>
      <c r="B46" s="483"/>
      <c r="C46" s="483"/>
      <c r="D46" s="483"/>
      <c r="E46" s="483"/>
      <c r="F46" s="483"/>
    </row>
    <row r="47" spans="1:6">
      <c r="A47" s="511"/>
      <c r="B47" s="483"/>
      <c r="C47" s="483"/>
      <c r="D47" s="483"/>
      <c r="E47" s="483"/>
      <c r="F47" s="483"/>
    </row>
    <row r="48" spans="1:6">
      <c r="A48" s="511"/>
      <c r="B48" s="483"/>
      <c r="C48" s="483"/>
      <c r="D48" s="483"/>
      <c r="E48" s="483"/>
      <c r="F48" s="483"/>
    </row>
    <row r="49" spans="1:6">
      <c r="A49" s="511"/>
      <c r="B49" s="483"/>
      <c r="C49" s="483"/>
      <c r="D49" s="483"/>
      <c r="E49" s="483"/>
      <c r="F49" s="483"/>
    </row>
    <row r="50" spans="1:6">
      <c r="A50" s="511"/>
      <c r="B50" s="483"/>
      <c r="C50" s="483"/>
      <c r="D50" s="483"/>
      <c r="E50" s="483"/>
      <c r="F50" s="483"/>
    </row>
    <row r="51" spans="1:6">
      <c r="A51" s="511"/>
      <c r="B51" s="483"/>
      <c r="C51" s="483"/>
      <c r="D51" s="483"/>
      <c r="E51" s="483"/>
      <c r="F51" s="483"/>
    </row>
    <row r="52" spans="1:6">
      <c r="A52" s="511"/>
      <c r="B52" s="483"/>
      <c r="C52" s="483"/>
      <c r="D52" s="483"/>
      <c r="E52" s="483"/>
      <c r="F52" s="483"/>
    </row>
    <row r="53" spans="1:6">
      <c r="A53" s="511"/>
      <c r="B53" s="483"/>
      <c r="C53" s="483"/>
      <c r="D53" s="483"/>
      <c r="E53" s="483"/>
      <c r="F53" s="483"/>
    </row>
    <row r="54" spans="1:6">
      <c r="A54" s="511"/>
      <c r="B54" s="483"/>
      <c r="C54" s="483"/>
      <c r="D54" s="483"/>
      <c r="E54" s="483"/>
      <c r="F54" s="483"/>
    </row>
    <row r="55" spans="1:6">
      <c r="A55" s="511"/>
      <c r="B55" s="483"/>
      <c r="C55" s="483"/>
      <c r="D55" s="483"/>
      <c r="E55" s="483"/>
      <c r="F55" s="483"/>
    </row>
    <row r="56" spans="1:6">
      <c r="A56" s="511"/>
      <c r="B56" s="483"/>
      <c r="C56" s="483"/>
      <c r="D56" s="483"/>
      <c r="E56" s="483"/>
      <c r="F56" s="483"/>
    </row>
    <row r="57" spans="1:6">
      <c r="A57" s="511"/>
      <c r="B57" s="483"/>
      <c r="C57" s="483"/>
      <c r="D57" s="483"/>
      <c r="E57" s="483"/>
      <c r="F57" s="483"/>
    </row>
    <row r="58" spans="1:6">
      <c r="A58" s="511"/>
      <c r="B58" s="483"/>
      <c r="C58" s="483"/>
      <c r="D58" s="483"/>
      <c r="E58" s="483"/>
      <c r="F58" s="483"/>
    </row>
    <row r="59" spans="1:6">
      <c r="A59" s="511"/>
      <c r="B59" s="483"/>
      <c r="C59" s="483"/>
      <c r="D59" s="483"/>
      <c r="E59" s="483"/>
      <c r="F59" s="483"/>
    </row>
    <row r="60" spans="1:6">
      <c r="A60" s="511"/>
      <c r="B60" s="483"/>
      <c r="C60" s="483"/>
      <c r="D60" s="483"/>
      <c r="E60" s="483"/>
      <c r="F60" s="483"/>
    </row>
    <row r="61" spans="1:6">
      <c r="A61" s="511"/>
      <c r="B61" s="483"/>
      <c r="C61" s="483"/>
      <c r="D61" s="483"/>
      <c r="E61" s="483"/>
      <c r="F61" s="483"/>
    </row>
    <row r="62" spans="1:6">
      <c r="A62" s="511"/>
      <c r="B62" s="483"/>
      <c r="C62" s="483"/>
      <c r="D62" s="483"/>
      <c r="E62" s="483"/>
      <c r="F62" s="483"/>
    </row>
    <row r="63" spans="1:6">
      <c r="A63" s="511"/>
      <c r="B63" s="483"/>
      <c r="C63" s="483"/>
      <c r="D63" s="483"/>
      <c r="E63" s="483"/>
      <c r="F63" s="483"/>
    </row>
    <row r="64" spans="1:6">
      <c r="A64" s="511"/>
      <c r="B64" s="483"/>
      <c r="C64" s="483"/>
      <c r="D64" s="483"/>
      <c r="E64" s="483"/>
      <c r="F64" s="483"/>
    </row>
    <row r="65" spans="1:6">
      <c r="A65" s="511"/>
      <c r="B65" s="483"/>
      <c r="C65" s="483"/>
      <c r="D65" s="483"/>
      <c r="E65" s="483"/>
      <c r="F65" s="483"/>
    </row>
    <row r="66" spans="1:6">
      <c r="A66" s="511"/>
      <c r="B66" s="483"/>
      <c r="C66" s="483"/>
      <c r="D66" s="483"/>
      <c r="E66" s="483"/>
      <c r="F66" s="483"/>
    </row>
    <row r="67" spans="1:6">
      <c r="A67" s="511"/>
      <c r="B67" s="483"/>
      <c r="C67" s="483"/>
      <c r="D67" s="483"/>
      <c r="E67" s="483"/>
      <c r="F67" s="483"/>
    </row>
    <row r="68" spans="1:6">
      <c r="A68" s="511"/>
      <c r="B68" s="483"/>
      <c r="C68" s="483"/>
      <c r="D68" s="483"/>
      <c r="E68" s="483"/>
      <c r="F68" s="483"/>
    </row>
    <row r="69" spans="1:6">
      <c r="A69" s="511"/>
      <c r="B69" s="483"/>
      <c r="C69" s="483"/>
      <c r="D69" s="483"/>
      <c r="E69" s="483"/>
      <c r="F69" s="483"/>
    </row>
    <row r="70" spans="1:6">
      <c r="A70" s="511"/>
      <c r="B70" s="483"/>
      <c r="C70" s="483"/>
      <c r="D70" s="483"/>
      <c r="E70" s="483"/>
      <c r="F70" s="483"/>
    </row>
    <row r="71" spans="1:6">
      <c r="A71" s="511"/>
      <c r="B71" s="483"/>
      <c r="C71" s="483"/>
      <c r="D71" s="483"/>
      <c r="E71" s="483"/>
      <c r="F71" s="483"/>
    </row>
    <row r="72" spans="1:6">
      <c r="A72" s="511"/>
      <c r="B72" s="483"/>
      <c r="C72" s="483"/>
      <c r="D72" s="483"/>
      <c r="E72" s="483"/>
      <c r="F72" s="483"/>
    </row>
    <row r="73" spans="1:6">
      <c r="A73" s="511"/>
      <c r="B73" s="483"/>
      <c r="C73" s="483"/>
      <c r="D73" s="483"/>
      <c r="E73" s="483"/>
      <c r="F73" s="483"/>
    </row>
    <row r="74" spans="1:6">
      <c r="A74" s="511"/>
      <c r="B74" s="483"/>
      <c r="C74" s="483"/>
      <c r="D74" s="483"/>
      <c r="E74" s="483"/>
      <c r="F74" s="483"/>
    </row>
    <row r="75" spans="1:6">
      <c r="A75" s="511"/>
      <c r="B75" s="483"/>
      <c r="C75" s="483"/>
      <c r="D75" s="483"/>
      <c r="E75" s="483"/>
      <c r="F75" s="483"/>
    </row>
    <row r="76" spans="1:6">
      <c r="A76" s="511"/>
      <c r="B76" s="483"/>
      <c r="C76" s="483"/>
      <c r="D76" s="483"/>
      <c r="E76" s="483"/>
      <c r="F76" s="483"/>
    </row>
    <row r="77" spans="1:6">
      <c r="A77" s="511"/>
      <c r="B77" s="483"/>
      <c r="C77" s="483"/>
      <c r="D77" s="483"/>
      <c r="E77" s="483"/>
      <c r="F77" s="483"/>
    </row>
    <row r="78" spans="1:6">
      <c r="A78" s="511"/>
      <c r="B78" s="483"/>
      <c r="C78" s="483"/>
      <c r="D78" s="483"/>
      <c r="E78" s="483"/>
      <c r="F78" s="483"/>
    </row>
    <row r="79" spans="1:6">
      <c r="A79" s="511"/>
      <c r="B79" s="483"/>
      <c r="C79" s="483"/>
      <c r="D79" s="483"/>
      <c r="E79" s="483"/>
      <c r="F79" s="483"/>
    </row>
    <row r="80" spans="1:6">
      <c r="A80" s="511"/>
      <c r="B80" s="483"/>
      <c r="C80" s="483"/>
      <c r="D80" s="483"/>
      <c r="E80" s="483"/>
      <c r="F80" s="483"/>
    </row>
    <row r="81" spans="1:6">
      <c r="A81" s="511"/>
      <c r="B81" s="483"/>
      <c r="C81" s="483"/>
      <c r="D81" s="483"/>
      <c r="E81" s="483"/>
      <c r="F81" s="483"/>
    </row>
    <row r="82" spans="1:6">
      <c r="A82" s="511"/>
      <c r="B82" s="483"/>
      <c r="C82" s="483"/>
      <c r="D82" s="483"/>
      <c r="E82" s="483"/>
      <c r="F82" s="483"/>
    </row>
    <row r="83" spans="1:6">
      <c r="A83" s="511"/>
      <c r="B83" s="483"/>
      <c r="C83" s="483"/>
      <c r="D83" s="483"/>
      <c r="E83" s="483"/>
      <c r="F83" s="483"/>
    </row>
    <row r="84" spans="1:6">
      <c r="A84" s="511"/>
      <c r="B84" s="483"/>
      <c r="C84" s="483"/>
      <c r="D84" s="483"/>
      <c r="E84" s="483"/>
      <c r="F84" s="483"/>
    </row>
    <row r="85" spans="1:6">
      <c r="A85" s="511"/>
      <c r="B85" s="483"/>
      <c r="C85" s="483"/>
      <c r="D85" s="483"/>
      <c r="E85" s="483"/>
      <c r="F85" s="483"/>
    </row>
    <row r="86" spans="1:6">
      <c r="A86" s="511"/>
      <c r="B86" s="483"/>
      <c r="C86" s="483"/>
      <c r="D86" s="483"/>
      <c r="E86" s="483"/>
      <c r="F86" s="483"/>
    </row>
    <row r="87" spans="1:6">
      <c r="A87" s="511"/>
      <c r="B87" s="483"/>
      <c r="C87" s="483"/>
      <c r="D87" s="483"/>
      <c r="E87" s="483"/>
      <c r="F87" s="483"/>
    </row>
    <row r="88" spans="1:6">
      <c r="A88" s="511"/>
      <c r="B88" s="483"/>
      <c r="C88" s="483"/>
      <c r="D88" s="483"/>
      <c r="E88" s="483"/>
      <c r="F88" s="483"/>
    </row>
    <row r="89" spans="1:6">
      <c r="A89" s="511"/>
      <c r="B89" s="483"/>
      <c r="C89" s="483"/>
      <c r="D89" s="483"/>
      <c r="E89" s="483"/>
      <c r="F89" s="483"/>
    </row>
    <row r="90" spans="1:6">
      <c r="A90" s="511"/>
      <c r="B90" s="483"/>
      <c r="C90" s="483"/>
      <c r="D90" s="483"/>
      <c r="E90" s="483"/>
      <c r="F90" s="483"/>
    </row>
    <row r="91" spans="1:6">
      <c r="A91" s="511"/>
      <c r="B91" s="483"/>
      <c r="C91" s="483"/>
      <c r="D91" s="483"/>
      <c r="E91" s="483"/>
      <c r="F91" s="483"/>
    </row>
    <row r="92" spans="1:6">
      <c r="A92" s="511"/>
      <c r="B92" s="483"/>
      <c r="C92" s="483"/>
      <c r="D92" s="483"/>
      <c r="E92" s="483"/>
      <c r="F92" s="483"/>
    </row>
    <row r="93" spans="1:6">
      <c r="A93" s="511"/>
      <c r="B93" s="483"/>
      <c r="C93" s="483"/>
      <c r="D93" s="483"/>
      <c r="E93" s="483"/>
      <c r="F93" s="483"/>
    </row>
    <row r="94" spans="1:6">
      <c r="A94" s="511"/>
      <c r="B94" s="483"/>
      <c r="C94" s="483"/>
      <c r="D94" s="483"/>
      <c r="E94" s="483"/>
      <c r="F94" s="483"/>
    </row>
    <row r="95" spans="1:6">
      <c r="A95" s="511"/>
      <c r="B95" s="483"/>
      <c r="C95" s="483"/>
      <c r="D95" s="483"/>
      <c r="E95" s="483"/>
      <c r="F95" s="483"/>
    </row>
    <row r="96" spans="1:6">
      <c r="A96" s="511"/>
      <c r="B96" s="483"/>
      <c r="C96" s="483"/>
      <c r="D96" s="483"/>
      <c r="E96" s="483"/>
      <c r="F96" s="483"/>
    </row>
    <row r="97" spans="1:6">
      <c r="A97" s="511"/>
      <c r="B97" s="483"/>
      <c r="C97" s="483"/>
      <c r="D97" s="483"/>
      <c r="E97" s="483"/>
      <c r="F97" s="483"/>
    </row>
    <row r="98" spans="1:6">
      <c r="A98" s="511"/>
      <c r="B98" s="483"/>
      <c r="C98" s="483"/>
      <c r="D98" s="483"/>
      <c r="E98" s="483"/>
      <c r="F98" s="483"/>
    </row>
    <row r="99" spans="1:6">
      <c r="A99" s="511"/>
      <c r="B99" s="483"/>
      <c r="C99" s="483"/>
      <c r="D99" s="483"/>
      <c r="E99" s="483"/>
      <c r="F99" s="483"/>
    </row>
    <row r="100" spans="1:6">
      <c r="A100" s="511"/>
      <c r="B100" s="483"/>
      <c r="C100" s="483"/>
      <c r="D100" s="483"/>
      <c r="E100" s="483"/>
      <c r="F100" s="483"/>
    </row>
    <row r="101" spans="1:6">
      <c r="A101" s="511"/>
      <c r="B101" s="483"/>
      <c r="C101" s="483"/>
      <c r="D101" s="483"/>
      <c r="E101" s="483"/>
      <c r="F101" s="483"/>
    </row>
    <row r="102" spans="1:6">
      <c r="A102" s="511"/>
      <c r="B102" s="483"/>
      <c r="C102" s="483"/>
      <c r="D102" s="483"/>
      <c r="E102" s="483"/>
      <c r="F102" s="483"/>
    </row>
    <row r="103" spans="1:6">
      <c r="A103" s="511"/>
      <c r="B103" s="483"/>
      <c r="C103" s="483"/>
      <c r="D103" s="483"/>
      <c r="E103" s="483"/>
      <c r="F103" s="483"/>
    </row>
    <row r="104" spans="1:6">
      <c r="A104" s="511"/>
      <c r="B104" s="483"/>
      <c r="C104" s="483"/>
      <c r="D104" s="483"/>
      <c r="E104" s="483"/>
      <c r="F104" s="483"/>
    </row>
    <row r="105" spans="1:6">
      <c r="A105" s="511"/>
      <c r="B105" s="483"/>
      <c r="C105" s="483"/>
      <c r="D105" s="483"/>
      <c r="E105" s="483"/>
      <c r="F105" s="483"/>
    </row>
    <row r="106" spans="1:6">
      <c r="A106" s="511"/>
      <c r="B106" s="483"/>
      <c r="C106" s="483"/>
      <c r="D106" s="483"/>
      <c r="E106" s="483"/>
      <c r="F106" s="483"/>
    </row>
    <row r="107" spans="1:6">
      <c r="A107" s="511"/>
      <c r="B107" s="483"/>
      <c r="C107" s="483"/>
      <c r="D107" s="483"/>
      <c r="E107" s="483"/>
      <c r="F107" s="483"/>
    </row>
    <row r="108" spans="1:6">
      <c r="A108" s="511"/>
      <c r="B108" s="483"/>
      <c r="C108" s="483"/>
      <c r="D108" s="483"/>
      <c r="E108" s="483"/>
      <c r="F108" s="483"/>
    </row>
    <row r="109" spans="1:6">
      <c r="A109" s="511"/>
      <c r="B109" s="483"/>
      <c r="C109" s="483"/>
      <c r="D109" s="483"/>
      <c r="E109" s="483"/>
      <c r="F109" s="483"/>
    </row>
    <row r="110" spans="1:6">
      <c r="A110" s="511"/>
      <c r="B110" s="483"/>
      <c r="C110" s="483"/>
      <c r="D110" s="483"/>
      <c r="E110" s="483"/>
      <c r="F110" s="483"/>
    </row>
    <row r="111" spans="1:6">
      <c r="A111" s="511"/>
      <c r="B111" s="483"/>
      <c r="C111" s="483"/>
      <c r="D111" s="483"/>
      <c r="E111" s="483"/>
      <c r="F111" s="483"/>
    </row>
    <row r="112" spans="1:6">
      <c r="A112" s="511"/>
      <c r="B112" s="483"/>
      <c r="C112" s="483"/>
      <c r="D112" s="483"/>
      <c r="E112" s="483"/>
      <c r="F112" s="483"/>
    </row>
    <row r="113" spans="1:6">
      <c r="A113" s="511"/>
      <c r="B113" s="483"/>
      <c r="C113" s="483"/>
      <c r="D113" s="483"/>
      <c r="E113" s="483"/>
      <c r="F113" s="483"/>
    </row>
    <row r="114" spans="1:6">
      <c r="A114" s="511"/>
      <c r="B114" s="483"/>
      <c r="C114" s="483"/>
      <c r="D114" s="483"/>
      <c r="E114" s="483"/>
      <c r="F114" s="483"/>
    </row>
    <row r="115" spans="1:6">
      <c r="A115" s="511"/>
      <c r="B115" s="483"/>
      <c r="C115" s="483"/>
      <c r="D115" s="483"/>
      <c r="E115" s="483"/>
      <c r="F115" s="483"/>
    </row>
    <row r="116" spans="1:6">
      <c r="A116" s="511"/>
      <c r="B116" s="483"/>
      <c r="C116" s="483"/>
      <c r="D116" s="483"/>
      <c r="E116" s="483"/>
      <c r="F116" s="483"/>
    </row>
    <row r="117" spans="1:6">
      <c r="A117" s="511"/>
      <c r="B117" s="483"/>
      <c r="C117" s="483"/>
      <c r="D117" s="483"/>
      <c r="E117" s="483"/>
      <c r="F117" s="483"/>
    </row>
    <row r="118" spans="1:6">
      <c r="A118" s="511"/>
      <c r="B118" s="483"/>
      <c r="C118" s="483"/>
      <c r="D118" s="483"/>
      <c r="E118" s="483"/>
      <c r="F118" s="483"/>
    </row>
  </sheetData>
  <phoneticPr fontId="31" type="noConversion"/>
  <pageMargins left="0.75" right="0.75" top="1" bottom="1" header="0.5" footer="0.5"/>
  <pageSetup orientation="landscape" horizontalDpi="4294967295" r:id="rId1"/>
  <headerFooter alignWithMargins="0">
    <oddFooter>&amp;L&amp;8&amp;F: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Programmatic</vt:lpstr>
      <vt:lpstr>Management</vt:lpstr>
      <vt:lpstr>Actions</vt:lpstr>
      <vt:lpstr>Notes</vt:lpstr>
      <vt:lpstr>Recommendations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Mahama</dc:creator>
  <cp:lastModifiedBy>user</cp:lastModifiedBy>
  <cp:lastPrinted>2015-05-12T11:08:09Z</cp:lastPrinted>
  <dcterms:created xsi:type="dcterms:W3CDTF">2010-01-15T16:50:41Z</dcterms:created>
  <dcterms:modified xsi:type="dcterms:W3CDTF">2016-03-06T20:55:05Z</dcterms:modified>
</cp:coreProperties>
</file>