
<file path=[Content_Types].xml><?xml version="1.0" encoding="utf-8"?>
<Types xmlns="http://schemas.openxmlformats.org/package/2006/content-types">
  <Default Extension="xml" ContentType="application/xml"/>
  <Default Extension="jpeg" ContentType="image/jpeg"/>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101"/>
  <workbookPr showInkAnnotation="0" codeName="ThisWorkbook"/>
  <mc:AlternateContent xmlns:mc="http://schemas.openxmlformats.org/markup-compatibility/2006">
    <mc:Choice Requires="x15">
      <x15ac:absPath xmlns:x15ac="http://schemas.microsoft.com/office/spreadsheetml/2010/11/ac" url="/Users/keziah/Documents/CCM/DASHBOARD/"/>
    </mc:Choice>
  </mc:AlternateContent>
  <bookViews>
    <workbookView xWindow="3340" yWindow="1080" windowWidth="22260" windowHeight="9900" tabRatio="721"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20" i="37" l="1"/>
  <c r="E20" i="37"/>
  <c r="G20" i="37"/>
  <c r="D47" i="29"/>
  <c r="C33" i="29"/>
  <c r="D33" i="29"/>
  <c r="E33" i="29"/>
  <c r="F33" i="29"/>
  <c r="G33" i="29"/>
  <c r="C47" i="29"/>
  <c r="B143" i="29"/>
  <c r="B22" i="45"/>
  <c r="F29" i="37"/>
  <c r="F28" i="37"/>
  <c r="F27" i="37"/>
  <c r="F26" i="37"/>
  <c r="F25" i="37"/>
  <c r="E29" i="37"/>
  <c r="E28" i="37"/>
  <c r="E27" i="37"/>
  <c r="G27" i="37"/>
  <c r="E26" i="37"/>
  <c r="G26" i="37"/>
  <c r="E25" i="37"/>
  <c r="F24" i="37"/>
  <c r="E24" i="37"/>
  <c r="F23" i="37"/>
  <c r="E23" i="37"/>
  <c r="F22" i="37"/>
  <c r="E22" i="37"/>
  <c r="F21" i="37"/>
  <c r="E21" i="37"/>
  <c r="R29" i="29"/>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C34" i="29"/>
  <c r="D34" i="29"/>
  <c r="E34" i="29"/>
  <c r="D11" i="42"/>
  <c r="J3" i="35"/>
  <c r="L3" i="35"/>
  <c r="B7" i="35"/>
  <c r="B15" i="35"/>
  <c r="I3" i="30"/>
  <c r="K3" i="30"/>
  <c r="B8" i="30"/>
  <c r="D33" i="42"/>
  <c r="D34" i="42"/>
  <c r="D35" i="42"/>
  <c r="D36" i="42"/>
  <c r="D37" i="42"/>
  <c r="D38" i="42"/>
  <c r="D39" i="42"/>
  <c r="D40" i="42"/>
  <c r="D41" i="42"/>
  <c r="D32" i="42"/>
  <c r="D31" i="42"/>
  <c r="D30" i="42"/>
  <c r="D29" i="42"/>
  <c r="E109" i="29"/>
  <c r="G109" i="29"/>
  <c r="I109" i="29"/>
  <c r="E108" i="29"/>
  <c r="G108" i="29"/>
  <c r="I108" i="29"/>
  <c r="E110" i="29"/>
  <c r="G110" i="29"/>
  <c r="I110" i="29"/>
  <c r="E111" i="29"/>
  <c r="G111" i="29"/>
  <c r="I111" i="29"/>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32" i="29"/>
  <c r="D38" i="29"/>
  <c r="C38" i="29"/>
  <c r="K33" i="29"/>
  <c r="K35" i="29"/>
  <c r="L33" i="29"/>
  <c r="L35" i="29"/>
  <c r="M33" i="29"/>
  <c r="M35" i="29"/>
  <c r="N33" i="29"/>
  <c r="N35" i="29"/>
  <c r="H34" i="29"/>
  <c r="I34" i="29"/>
  <c r="J34" i="29"/>
  <c r="K34" i="29"/>
  <c r="L34" i="29"/>
  <c r="M34" i="29"/>
  <c r="N34"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G12" i="27"/>
  <c r="H4" i="1"/>
  <c r="K148" i="29"/>
  <c r="K147" i="29"/>
  <c r="K146" i="29"/>
  <c r="K145" i="29"/>
  <c r="K144" i="29"/>
  <c r="K143" i="29"/>
  <c r="C98" i="29"/>
  <c r="D98" i="29"/>
  <c r="E98" i="29"/>
  <c r="F98" i="29"/>
  <c r="G98" i="29"/>
  <c r="H98" i="29"/>
  <c r="I98" i="29"/>
  <c r="J98" i="29"/>
  <c r="K98" i="29"/>
  <c r="L98" i="29"/>
  <c r="M98" i="29"/>
  <c r="N98" i="29"/>
  <c r="G72" i="29"/>
  <c r="K27" i="30"/>
  <c r="J27" i="30"/>
  <c r="K28" i="30"/>
  <c r="J28" i="30"/>
  <c r="K29" i="30"/>
  <c r="J29" i="30"/>
  <c r="E53" i="29"/>
  <c r="E52"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c r="F100" i="29"/>
  <c r="G100" i="29"/>
  <c r="H100" i="29"/>
  <c r="I100" i="29"/>
  <c r="J100" i="29"/>
  <c r="K100" i="29"/>
  <c r="L100" i="29"/>
  <c r="M100" i="29"/>
  <c r="N100" i="29"/>
  <c r="C99" i="29"/>
  <c r="D99" i="29"/>
  <c r="E99" i="29"/>
  <c r="F99" i="29"/>
  <c r="G99" i="29"/>
  <c r="H99" i="29"/>
  <c r="I99" i="29"/>
  <c r="J99" i="29"/>
  <c r="K99" i="29"/>
  <c r="L99" i="29"/>
  <c r="M99" i="29"/>
  <c r="N99" i="29"/>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B20" i="37"/>
  <c r="E55" i="29"/>
  <c r="B27" i="37"/>
  <c r="N142" i="29"/>
  <c r="M142" i="29"/>
  <c r="L142" i="29"/>
  <c r="K142" i="29"/>
  <c r="J142" i="29"/>
  <c r="I142" i="29"/>
  <c r="H142" i="29"/>
  <c r="B36" i="39"/>
  <c r="B34" i="39"/>
  <c r="E54" i="29"/>
  <c r="B34" i="35"/>
  <c r="R50" i="29"/>
  <c r="Z24" i="37"/>
  <c r="AA24" i="37"/>
  <c r="Z23" i="37"/>
  <c r="AA23" i="37"/>
  <c r="Z22" i="37"/>
  <c r="AA22" i="37"/>
  <c r="AF21" i="37"/>
  <c r="AE21" i="37"/>
  <c r="AD21" i="37"/>
  <c r="AC21" i="37"/>
  <c r="AB21" i="37"/>
  <c r="E20" i="42"/>
  <c r="F20" i="42"/>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G35" i="29"/>
  <c r="H33" i="29"/>
  <c r="H35" i="29"/>
  <c r="I33" i="29"/>
  <c r="R35" i="29"/>
  <c r="J33" i="29"/>
  <c r="R49" i="29"/>
  <c r="H7" i="35"/>
  <c r="C35" i="29"/>
  <c r="H15" i="35"/>
  <c r="K109" i="29"/>
  <c r="L31" i="35"/>
  <c r="J31" i="35"/>
  <c r="K110" i="29"/>
  <c r="L32" i="35"/>
  <c r="J32" i="35"/>
  <c r="K111" i="29"/>
  <c r="L33" i="35"/>
  <c r="J33" i="35"/>
  <c r="K108" i="29"/>
  <c r="L30" i="35"/>
  <c r="J30" i="35"/>
  <c r="B3" i="32"/>
  <c r="H22" i="30"/>
  <c r="H8" i="30"/>
  <c r="Q51" i="29"/>
  <c r="AD22" i="37"/>
  <c r="AB22" i="37"/>
  <c r="AF22" i="37"/>
  <c r="AC22" i="37"/>
  <c r="AE22" i="37"/>
  <c r="AD24" i="37"/>
  <c r="AB24" i="37"/>
  <c r="AE24" i="37"/>
  <c r="AF24" i="37"/>
  <c r="AC24" i="37"/>
  <c r="AE23" i="37"/>
  <c r="AF23" i="37"/>
  <c r="AC23" i="37"/>
  <c r="AD23" i="37"/>
  <c r="AB23" i="37"/>
  <c r="H26" i="35"/>
  <c r="B22" i="30"/>
  <c r="R34" i="29"/>
  <c r="I35" i="29"/>
  <c r="G25" i="37"/>
  <c r="D35" i="29"/>
  <c r="F35" i="29"/>
  <c r="R30" i="29"/>
  <c r="R31" i="29"/>
  <c r="F47" i="29"/>
  <c r="F34" i="29"/>
  <c r="E35" i="29"/>
  <c r="R32" i="29"/>
  <c r="G22" i="37"/>
  <c r="J35" i="29"/>
  <c r="O31" i="29"/>
  <c r="R33" i="29"/>
  <c r="G21" i="37"/>
  <c r="G23" i="37"/>
  <c r="G24" i="37"/>
</calcChain>
</file>

<file path=xl/comments1.xml><?xml version="1.0" encoding="utf-8"?>
<comments xmlns="http://schemas.openxmlformats.org/spreadsheetml/2006/main">
  <authors>
    <author>mgleixner</author>
    <author>molszak</author>
  </authors>
  <commentList>
    <comment ref="B30" authorId="0">
      <text>
        <r>
          <rPr>
            <sz val="8"/>
            <color indexed="81"/>
            <rFont val="Tahoma"/>
            <family val="2"/>
          </rPr>
          <t>To define your periods (eg. P1, P2, P3 etc or P9, P10, P11 etc) you need to unprotect the cells.</t>
        </r>
      </text>
    </comment>
    <comment ref="B72" authorId="1">
      <text>
        <r>
          <rPr>
            <b/>
            <sz val="8"/>
            <color indexed="81"/>
            <rFont val="Tahoma"/>
            <family val="2"/>
          </rPr>
          <t xml:space="preserve">If data are not available, do not enter zeros; rather, leave the cells in the table blank. </t>
        </r>
      </text>
    </comment>
    <comment ref="B73" authorId="1">
      <text>
        <r>
          <rPr>
            <b/>
            <sz val="8"/>
            <color indexed="81"/>
            <rFont val="Tahoma"/>
            <family val="2"/>
          </rPr>
          <t>If data are not available, do not enter zeros; rather, leave the cells in this table blank.</t>
        </r>
      </text>
    </comment>
    <comment ref="B79" authorId="0">
      <text>
        <r>
          <rPr>
            <sz val="8"/>
            <color indexed="81"/>
            <rFont val="Tahoma"/>
            <family val="2"/>
          </rPr>
          <t xml:space="preserve">If data are not available, do not enter zeros; rather, leave the cells in this table blank. </t>
        </r>
      </text>
    </comment>
    <comment ref="B94" author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<sst xmlns="http://schemas.openxmlformats.org/spreadsheetml/2006/main" count="660" uniqueCount="494">
  <si>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</si>
  <si>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</si>
  <si>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</si>
  <si>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</si>
  <si>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</si>
  <si>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</si>
  <si>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</si>
  <si>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</si>
  <si>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</si>
  <si>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</si>
  <si>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</si>
  <si>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</si>
  <si>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</si>
  <si>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</si>
  <si>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</si>
  <si>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</si>
  <si>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</si>
  <si>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</si>
  <si>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</si>
  <si>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</si>
  <si>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</si>
  <si>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</si>
  <si>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</si>
  <si>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</si>
  <si>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</si>
  <si>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</si>
  <si>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</si>
  <si>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</si>
  <si>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</si>
  <si>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</si>
  <si>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</si>
  <si>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</si>
  <si>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</si>
  <si>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</si>
  <si>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</si>
  <si>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</si>
  <si>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</si>
  <si>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</si>
  <si>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</si>
  <si>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</si>
  <si>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</si>
  <si>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</si>
  <si>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</si>
  <si>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</si>
  <si>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</si>
  <si>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</si>
  <si>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</si>
  <si>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</si>
  <si>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</si>
  <si>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</si>
  <si>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</si>
  <si>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</si>
  <si>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</si>
  <si>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</si>
  <si>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</si>
  <si>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</si>
  <si>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</si>
  <si>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</si>
  <si>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</si>
  <si>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</si>
  <si>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</si>
  <si>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</si>
  <si>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</si>
  <si>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</si>
  <si>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</si>
  <si>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</si>
  <si>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</si>
  <si>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</si>
  <si>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</si>
  <si>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</si>
  <si>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</si>
  <si>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</si>
  <si>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</si>
  <si>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</si>
  <si>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</si>
  <si>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</si>
  <si>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</si>
  <si>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</si>
  <si>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</si>
  <si>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</si>
  <si>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</si>
  <si>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</si>
  <si>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</si>
  <si>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</si>
  <si>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</si>
  <si>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</si>
  <si>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</si>
  <si>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</si>
  <si>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</si>
  <si>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</si>
  <si>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</si>
  <si>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</si>
  <si>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</si>
  <si>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</si>
  <si>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</si>
  <si>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</si>
  <si>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</si>
  <si>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</si>
  <si>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</si>
  <si>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</si>
  <si>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</si>
  <si>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</si>
  <si>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</si>
  <si>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</si>
  <si>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</si>
  <si>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</si>
  <si>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</si>
  <si>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</si>
  <si>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</si>
  <si>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</si>
  <si>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</si>
  <si>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</si>
  <si>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</si>
  <si>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</si>
  <si>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</si>
  <si>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</si>
  <si>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</si>
  <si>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</si>
  <si>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</si>
  <si>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</si>
  <si>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</si>
  <si>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</si>
  <si>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</si>
  <si>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</si>
  <si>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</si>
  <si>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</si>
  <si>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</si>
  <si>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</si>
  <si>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</si>
  <si>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</si>
  <si>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</si>
  <si>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</si>
  <si>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</si>
  <si>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</si>
  <si>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</si>
  <si>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</si>
  <si>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</si>
  <si>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</si>
  <si>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</si>
  <si>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</si>
  <si>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</si>
  <si>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</si>
  <si>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</si>
  <si>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</si>
  <si>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</si>
  <si>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</si>
  <si>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</si>
  <si>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</si>
  <si>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</si>
  <si>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</si>
  <si>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</si>
  <si>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</si>
  <si>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</si>
  <si>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</si>
  <si>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</si>
  <si>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</si>
  <si>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</si>
  <si>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</si>
  <si>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</si>
  <si>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</si>
  <si>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</si>
  <si>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</si>
  <si>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</si>
  <si>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</si>
  <si>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</si>
  <si>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</si>
  <si>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</si>
  <si>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</si>
  <si>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</si>
  <si>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</si>
  <si>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</si>
  <si>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</si>
  <si>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</si>
  <si>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</si>
  <si>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</si>
  <si>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</si>
  <si>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</si>
  <si>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</si>
  <si>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</si>
  <si>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</si>
  <si>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</si>
  <si>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</si>
  <si>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</si>
  <si>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</si>
  <si>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</si>
  <si>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</si>
  <si>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</si>
  <si>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</si>
  <si>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</si>
  <si>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</si>
  <si>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</si>
  <si>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</si>
  <si>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</si>
  <si>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</si>
  <si>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</si>
  <si>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</si>
  <si>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</si>
  <si>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</si>
  <si>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</si>
  <si>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</si>
  <si>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</si>
  <si>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</si>
  <si>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</si>
  <si>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</si>
  <si>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</si>
  <si>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</si>
  <si>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</si>
  <si>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</si>
  <si>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</si>
  <si>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</si>
  <si>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</si>
  <si>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</si>
  <si>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</si>
  <si>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</si>
  <si>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</si>
  <si>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</si>
  <si>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</si>
  <si>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</si>
  <si>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</si>
  <si>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</si>
  <si>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</si>
  <si>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</si>
  <si>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</si>
  <si>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</si>
  <si>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</si>
  <si>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</si>
  <si>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</si>
  <si>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</si>
  <si>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</si>
  <si>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</si>
  <si>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</si>
  <si>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</si>
  <si>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</si>
  <si>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</si>
  <si>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</si>
  <si>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</si>
  <si>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</si>
  <si>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</si>
  <si>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</si>
  <si>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</si>
  <si>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</si>
  <si>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</si>
  <si>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</si>
  <si>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</si>
  <si>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</si>
  <si>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</si>
  <si>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</si>
  <si>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</si>
  <si>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</si>
  <si>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</si>
  <si>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</si>
  <si>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</si>
  <si>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</si>
  <si>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</si>
  <si>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</si>
  <si>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</si>
  <si>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</si>
  <si>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</si>
  <si>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</si>
  <si>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</si>
  <si>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</si>
  <si>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</si>
  <si>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</si>
  <si>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</si>
  <si>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</si>
  <si>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</si>
  <si>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</si>
  <si>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</si>
  <si>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</si>
  <si>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</si>
  <si>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</si>
  <si>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</si>
  <si>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</si>
  <si>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</si>
  <si>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</si>
  <si>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</si>
  <si>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</si>
  <si>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</si>
  <si>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</si>
  <si>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</si>
  <si>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</si>
  <si>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</si>
  <si>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</si>
  <si>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</si>
  <si>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</si>
  <si>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</si>
  <si>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</si>
  <si>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</si>
  <si>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</si>
  <si>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</si>
  <si>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</si>
  <si>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</si>
  <si>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</si>
  <si>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</si>
  <si>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</si>
  <si>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</si>
  <si>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</si>
  <si>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</si>
  <si>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</si>
  <si>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</si>
  <si>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</si>
  <si>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</si>
  <si>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</si>
  <si>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</si>
  <si>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</si>
  <si>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</si>
  <si>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</si>
  <si>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</si>
  <si>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</si>
  <si>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</si>
  <si>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</si>
  <si>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</si>
  <si>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</si>
  <si>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</si>
  <si>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</si>
  <si>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</si>
  <si>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</si>
  <si>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</si>
  <si>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</si>
  <si>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</si>
  <si>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</si>
  <si>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</si>
  <si>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</si>
  <si>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</si>
  <si>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</si>
  <si>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</si>
  <si>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</si>
  <si>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</si>
  <si>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</si>
  <si>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</si>
  <si>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</si>
  <si>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</si>
  <si>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</si>
  <si>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</si>
  <si>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</si>
  <si>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</si>
  <si>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</si>
  <si>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</si>
  <si>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</si>
  <si>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</si>
  <si>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</si>
  <si>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</si>
  <si>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</si>
  <si>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</si>
  <si>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</si>
  <si>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</si>
  <si>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</si>
  <si>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</si>
  <si>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</si>
  <si>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</si>
  <si>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</si>
  <si>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</si>
  <si>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</si>
  <si>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</si>
  <si>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</si>
  <si>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</si>
  <si>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</si>
  <si>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</si>
  <si>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</si>
  <si>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</si>
  <si>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</si>
  <si>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</si>
  <si>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</si>
  <si>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</si>
  <si>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</si>
  <si>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</si>
  <si>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</si>
  <si>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</si>
  <si>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</si>
  <si>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</si>
  <si>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</si>
  <si>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</si>
  <si>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</si>
  <si>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</si>
  <si>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</si>
  <si>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</si>
  <si>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</si>
  <si>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</si>
  <si>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</si>
  <si>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</si>
  <si>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</si>
  <si>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</si>
  <si>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</si>
  <si>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</si>
  <si>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</si>
  <si>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</si>
  <si>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</si>
  <si>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</si>
  <si>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</si>
  <si>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</si>
  <si>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</si>
  <si>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</si>
  <si>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</si>
  <si>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</si>
  <si>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</si>
  <si>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</si>
  <si>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</si>
  <si>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</si>
  <si>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</si>
  <si>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</si>
  <si>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</si>
  <si>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</si>
  <si>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</si>
  <si>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</si>
  <si>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</si>
  <si>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</si>
  <si>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</si>
  <si>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</si>
  <si>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</si>
  <si>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</si>
  <si>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</si>
  <si>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</si>
  <si>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</si>
  <si>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</si>
  <si>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Pr1. Proportion of estimated malaria cases (presumed and confirmed) that received first line anti-malarial treatment at health facilities</t>
  </si>
  <si>
    <t>Pr2. %  Proportion of pregnant women attending antenatal clinics who received three or more doses of intermittent preventive treatment (IPTp) for malaria</t>
  </si>
  <si>
    <t>Pr3. Number of long-lasting insecticidal nets distributed to at-risk populations through mass campaigns</t>
  </si>
  <si>
    <t>Pr4. Proportion of population at risk potentially covered by long lasting insecticidal nets distributed</t>
  </si>
  <si>
    <t>Pr5. Proportion of suspected malaria cases that receive a parasitological test at health facilities</t>
  </si>
  <si>
    <t>Pr6.  Proportion of targeted risk groups (pupils, pregnant women  and children under five years) receiving long-lasting insecticidal-nets through routine distribution</t>
  </si>
  <si>
    <t>Pr7. Number of children under five years which received first-line antimalrial treatment according to national policy(ACTs) at the community level</t>
  </si>
  <si>
    <t>Pr8. Proportion of confirmed malaria cases that received first-line antimalarial treatment according to national policy at health facilities</t>
  </si>
  <si>
    <t>No</t>
  </si>
  <si>
    <t>Apr-June 2015</t>
  </si>
  <si>
    <t>Oct-Dec 2015</t>
  </si>
  <si>
    <t>Jan-Mar2015</t>
  </si>
  <si>
    <t>July-Sep 2015</t>
  </si>
  <si>
    <t>Jan-Mar 2016</t>
  </si>
  <si>
    <t>Apr-Jun 2016</t>
  </si>
  <si>
    <t>July-Sep 2016</t>
  </si>
  <si>
    <t>Oct-Dec 2016</t>
  </si>
  <si>
    <t>Jan-Mar 2017</t>
  </si>
  <si>
    <t>Apr-June 2017</t>
  </si>
  <si>
    <t>July-Sept 2017</t>
  </si>
  <si>
    <t>Oct-Dec 2017</t>
  </si>
  <si>
    <t>MOH</t>
  </si>
  <si>
    <t>Mark Saafield</t>
  </si>
  <si>
    <t>Number of malaria positive cases treated over number of cases tested positive for malaria</t>
  </si>
  <si>
    <t xml:space="preserve">Numerator:  number of suspected malaria cases given ACTs as treatment according to national guidelines                                                                                                                                 Denominator: Number of suspected malaria cases for all the health facilities, whilst the </t>
  </si>
  <si>
    <t>This indicator seeks to measure the number of projected malaria cases that will receive ACTs correctly. This captures all malaria cases in all health acilities in the country(both public and private). Diagnosis of uncomplicated or severe malaria can be (1) laboratory-confirmed in countries that routinely perform laboratory testing for malaria or (2) presumptive, based on clinical symptoms (such as in most high-endemicity countries in sub-Saharan Africa, where all cases of acute fever without an obvious nonmalarial
cause are considered malaria).</t>
  </si>
  <si>
    <t>MOH (HMIS (DHIMS))</t>
  </si>
  <si>
    <t>Numerator: Number of pregnant women who received at least three doses of intermittent preventive treatment with a recommended antimalarial drug during antenatal care visits
Denominator: Total number of pregnant women at first antenatal care visits (registrants)</t>
  </si>
  <si>
    <t xml:space="preserve">This measures the number of pregnant women who took at least three doses of SP during ANC visit according to national policy. Denominator: antenatal registrants per year. </t>
  </si>
  <si>
    <t xml:space="preserve">Number of mosquito nets distributed to population (including pupils, pregnant women  and children under five years), through mass campaign with the mosquito nets being limited to long-lasting insecticidal nets </t>
  </si>
  <si>
    <t>Numerator: Population covered by available LLINs through mass campaign
Denominator: Total population of regions covered</t>
  </si>
  <si>
    <t>This seeks to measure the coverage of LLINs distributed through mass campaign</t>
  </si>
  <si>
    <t>MOH (Mass campaign report)</t>
  </si>
  <si>
    <t>Definition  (from M&amp;E Plan, May 2015)</t>
  </si>
  <si>
    <t>Numerator: number of malaria cases confirmed  by RDTs or microscopy (total tested).                     Denominator: number of suspected cases of malaria</t>
  </si>
  <si>
    <t xml:space="preserve">This information is collected through the health facility routine data collection system and laboratory records. High coverage is a key factor for interpreting the commitment in confirming (testing) all suspected malaria cases before treatment is given. </t>
  </si>
  <si>
    <t>Number of risk groups (pupils, pregnant women  and children under five years) who received LLINs over expected number of risk groups to be given LLINs. The denominator for risk groups are as follows: pregnant women = number of registrants, Children under five=children due for measeles 2, pupils= All people in class 2 and 6.</t>
  </si>
  <si>
    <t>This seeks to measure the coverage of LLINs distributed through the ANC, Epi and Primary School</t>
  </si>
  <si>
    <t xml:space="preserve">Number of uncomplicated malaria cases among under 5 year children treated with ACT by community based health workers (CBA) </t>
  </si>
  <si>
    <t>This measure the number of uder five children treated in the communities through the iCCM intervention. iCCM will be limited to communities with out access to Health facilities.</t>
  </si>
  <si>
    <t>This measures treatment of positive malaria cases according to national policy</t>
  </si>
  <si>
    <t>GHA-MOH-M</t>
  </si>
  <si>
    <t>Vector control</t>
  </si>
  <si>
    <t>Case management</t>
  </si>
  <si>
    <t>Specific prevention interventions (SPI)</t>
  </si>
  <si>
    <t>HSS - Health information systems and M&amp;E</t>
  </si>
  <si>
    <t>HSS - Financial management</t>
  </si>
  <si>
    <t>Program management</t>
  </si>
  <si>
    <t>Grant Objective(Module)</t>
  </si>
  <si>
    <t xml:space="preserve">This does not include funds disbursed to PPM and Co-payment unit. </t>
  </si>
  <si>
    <t>Grant was signed late and disbursement was late</t>
  </si>
  <si>
    <t>Whajib and Joel</t>
  </si>
  <si>
    <t>The programme is no longer reporting on this indicator.</t>
  </si>
  <si>
    <t>na</t>
  </si>
  <si>
    <t xml:space="preserve">1,762,766 (97%) of expected LLINs to be distributed) LLINs distributed in the Northern region during the semester under review. </t>
  </si>
  <si>
    <t>Out of 488,807 ANC registrants, 291,498 (60%) received IPTp1, 240,870 (49.3%) IPTp2 and 174,219 (36%) IPTp3. This performance is mainly due to shortage of SP during the period under review</t>
  </si>
  <si>
    <t>2,634,268 (53.4% ) out of 4,929,983 suspected malaria cases were treated with ACTs during the semester under review.  The reduction in use of ACTs is due to the increase in parasitological diagnosis of suspected malaria cases, thus increase in rational use of ACTs</t>
  </si>
  <si>
    <t>HSS - Procurement supply chain management (PSCM)</t>
  </si>
  <si>
    <t>July</t>
  </si>
  <si>
    <t>Sept</t>
  </si>
  <si>
    <t xml:space="preserve">A total population of 5,060,848 was covered through mass campaign during the quarter under review. Thus the total cummulative coverage is 25,759,492= 4,304,564 (2014 VR+ER coverage depreciated by 20%) +13,888,670 (2015 BAR+WR+CR+ASH+UE coverage depreciated by 8%) + 3,172,979 (2016 NR)+810,069 (Upper West, 2016)+4,242,890 (GAR, 2016)+7,889 (Pakro,2016). </t>
  </si>
  <si>
    <t xml:space="preserve">All 3,303,744 tested positive cases reported at the end of the period under review were treated with ACTs. </t>
  </si>
  <si>
    <t xml:space="preserve">During the quarter under review, 1,147,456 LLINs were distributed to pregnant women, children under five (211,099) via health facility and class 2 and 6 pupils (936357) via school distribution. </t>
  </si>
  <si>
    <t>1,503,406 (56% ) out of 2,669,296 suspected malaria cases were treated with ACTs during the quarter under review.  The reduction in use of ACTs is due to the increase in parasitological diagnosis of suspected malaria cases, thus increase in rational use of ACT s</t>
  </si>
  <si>
    <t>Out of 220,012 ANC registrants, 165,411 (75%) received IPTp1, 165,411 (59%) IPTp2 and 88657 (40%) IPTp3. IPTp3 coverage was 36% for January-June against 40% in third quarter only. Improvement in third quarter was due to distribution of SP within the quarter. Further improvement is expected by the end of the year.</t>
  </si>
  <si>
    <t>Total LLINs distributed during the period under review was 2,440,710. 464,285 LLINs was distributed in Upper West and 1,971,922 in Greater Accra as part of mass campaign. 4,503 was distributed in Pakro in Eastern Region as part of LLINs durability study</t>
  </si>
  <si>
    <t xml:space="preserve">2,108,716 (79%) out of  2,669,296 suspected malaria cases were tested within the quarter under review. This achievement is due to ongoing promotion of testing before treatment and adequate supply of RDTs in the country. </t>
  </si>
  <si>
    <t>Accelerating access to Prevention, treatment and home based care for malaria and increasing the access to affordable ACTs in the private Sector</t>
  </si>
  <si>
    <t xml:space="preserve">Performance assessment was conducted within the 3rd quarter to evaluate the activities of the 61 NGOs enagage for renewable contract term ending June, 2016. After assessment 33 NGO have been retained with activities commencing in October 2016 </t>
  </si>
  <si>
    <t>Reports not due  during the current quarter because they have just been reengaged</t>
  </si>
  <si>
    <t>3 Data Managers, Epidemiologist, Lab- focal person and Case Management focal person have been recruited.</t>
  </si>
  <si>
    <t>3 out of 6 Special conditions fulfiled. 2 are in progress ( the CP related to the supply chain and the M&amp;E ).  The one on the counterpart financing has not been met but it is not due yet.There are no CPs in current grant</t>
  </si>
  <si>
    <t>Some of the VPP procurements  was front loaded thet why expenditure exceeds budget</t>
  </si>
  <si>
    <t>ACTS and Injection Artesunate has not been delivered and therefore not paid</t>
  </si>
  <si>
    <t>This variance is for SMC  round 3&amp;4 that has been postponed, PR has not had any positive feedback on the drugs os it may not come on</t>
  </si>
  <si>
    <t>The  difference is for RDQA and other research items that has been delayedto the last quarter</t>
  </si>
  <si>
    <t>Part of the 2017 allocation was frontloaded and added  to the current budget to be given to the regions for financial monitoring to improve financial adherence</t>
  </si>
  <si>
    <t>These are PSM cost associated with the ACTs and Injection Aresunate yet to be delivered, therefore the variance</t>
  </si>
  <si>
    <t>the quarter was used for reviewing the contracts of NGOs and renewing contracts so  disbursement delayed accounting for the difference</t>
  </si>
  <si>
    <t>Expenditure also includes  an amount $4,487,155 from VPP</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</si>
</sst>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s>
  <fonts count="136" x14ac:knownFonts="1">
    <font>
      <sz val="11"/>
      <color theme="1"/>
      <name val="Calibri"/>
      <family val="2"/>
      <scheme val="minor"/>
    </font>
    <font>
      <sz val="11"/>
      <color indexed="8"/>
      <name val="Calibri"/>
      <family val="2"/>
    </font>
    <font>
      <sz val="10"/>
      <name val="Arial"/>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i/>
      <sz val="11"/>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sz val="11"/>
      <color rgb="FFFF0000"/>
      <name val="Calibri"/>
      <family val="2"/>
      <scheme val="minor"/>
    </font>
    <font>
      <sz val="8"/>
      <color rgb="FFFF0000"/>
      <name val="Calibri"/>
      <family val="2"/>
    </font>
    <font>
      <sz val="8"/>
      <color theme="1"/>
      <name val="Calibri"/>
      <family val="2"/>
    </font>
  </fonts>
  <fills count="38">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s>
  <borders count="2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thin">
        <color auto="1"/>
      </right>
      <top style="thin">
        <color auto="1"/>
      </top>
      <bottom style="medium">
        <color indexed="60"/>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style="medium">
        <color indexed="16"/>
      </right>
      <top style="thin">
        <color auto="1"/>
      </top>
      <bottom style="medium">
        <color indexed="16"/>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164"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164" fontId="2" fillId="0" borderId="0" applyFill="0" applyBorder="0" applyAlignment="0" applyProtection="0"/>
    <xf numFmtId="164" fontId="1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xf numFmtId="164" fontId="1" fillId="0" borderId="0"/>
    <xf numFmtId="164" fontId="132" fillId="0" borderId="0"/>
    <xf numFmtId="164" fontId="132" fillId="0" borderId="0"/>
    <xf numFmtId="164" fontId="132" fillId="0" borderId="0"/>
    <xf numFmtId="164" fontId="132"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164" fontId="132" fillId="0" borderId="9" applyNumberFormat="0" applyFill="0" applyAlignment="0" applyProtection="0"/>
    <xf numFmtId="164" fontId="1" fillId="0" borderId="9" applyNumberFormat="0" applyFill="0" applyAlignment="0" applyProtection="0"/>
    <xf numFmtId="164" fontId="1" fillId="0" borderId="9" applyNumberFormat="0" applyFill="0" applyAlignment="0" applyProtection="0"/>
    <xf numFmtId="164" fontId="132" fillId="0" borderId="9" applyNumberFormat="0" applyFill="0" applyAlignment="0" applyProtection="0"/>
    <xf numFmtId="0" fontId="76" fillId="0" borderId="0" applyNumberFormat="0" applyFill="0" applyBorder="0" applyAlignment="0" applyProtection="0"/>
  </cellStyleXfs>
  <cellXfs count="937">
    <xf numFmtId="0" fontId="0" fillId="0" borderId="0" xfId="0"/>
    <xf numFmtId="164" fontId="16" fillId="0" borderId="0" xfId="39" applyFont="1" applyFill="1" applyAlignment="1">
      <alignment vertical="center"/>
    </xf>
    <xf numFmtId="0" fontId="0" fillId="0" borderId="0" xfId="0" applyBorder="1" applyProtection="1"/>
    <xf numFmtId="0" fontId="0" fillId="0" borderId="0" xfId="0" applyProtection="1"/>
    <xf numFmtId="164" fontId="22" fillId="0" borderId="0" xfId="39" applyFont="1" applyFill="1" applyAlignment="1" applyProtection="1">
      <alignment vertical="center"/>
    </xf>
    <xf numFmtId="0" fontId="21" fillId="0" borderId="0" xfId="0" applyFont="1" applyProtection="1"/>
    <xf numFmtId="164" fontId="19" fillId="0" borderId="0" xfId="50" applyFont="1" applyFill="1" applyAlignment="1" applyProtection="1"/>
    <xf numFmtId="164" fontId="19" fillId="0" borderId="0" xfId="50" applyFont="1" applyFill="1" applyAlignment="1" applyProtection="1">
      <alignment horizontal="center"/>
    </xf>
    <xf numFmtId="164" fontId="19" fillId="0" borderId="0" xfId="50" applyFont="1" applyFill="1" applyAlignment="1" applyProtection="1">
      <alignment horizontal="right"/>
    </xf>
    <xf numFmtId="164" fontId="19" fillId="0" borderId="0" xfId="50" applyFont="1" applyFill="1" applyBorder="1" applyAlignment="1" applyProtection="1">
      <alignment horizontal="center"/>
    </xf>
    <xf numFmtId="164" fontId="132" fillId="0" borderId="0" xfId="49" applyProtection="1"/>
    <xf numFmtId="164" fontId="15" fillId="0" borderId="0" xfId="49" applyFont="1" applyProtection="1"/>
    <xf numFmtId="0" fontId="18" fillId="0" borderId="0" xfId="49" applyNumberFormat="1" applyFont="1" applyBorder="1" applyProtection="1"/>
    <xf numFmtId="164" fontId="132" fillId="0" borderId="0" xfId="51" applyProtection="1"/>
    <xf numFmtId="164" fontId="132" fillId="0" borderId="0" xfId="51" applyFill="1" applyBorder="1" applyAlignment="1" applyProtection="1">
      <alignment horizontal="left"/>
    </xf>
    <xf numFmtId="0" fontId="0" fillId="0" borderId="0" xfId="0" applyFill="1" applyBorder="1" applyProtection="1"/>
    <xf numFmtId="164" fontId="132" fillId="0" borderId="0" xfId="51" applyFill="1" applyBorder="1" applyProtection="1"/>
    <xf numFmtId="0" fontId="15" fillId="0" borderId="0" xfId="0" applyFont="1" applyProtection="1"/>
    <xf numFmtId="164"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4" fontId="28" fillId="0" borderId="0" xfId="0" applyNumberFormat="1" applyFont="1" applyAlignment="1">
      <alignment horizontal="right"/>
    </xf>
    <xf numFmtId="166" fontId="28" fillId="0" borderId="0" xfId="28" applyNumberFormat="1" applyFont="1" applyAlignment="1">
      <alignment horizontal="left"/>
    </xf>
    <xf numFmtId="164"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164" fontId="28" fillId="0" borderId="0" xfId="0" applyNumberFormat="1" applyFont="1" applyFill="1" applyBorder="1" applyAlignment="1"/>
    <xf numFmtId="164" fontId="132" fillId="0" borderId="0" xfId="61"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4"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2"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4" fontId="69" fillId="0" borderId="0" xfId="49" applyFont="1" applyProtection="1"/>
    <xf numFmtId="164"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164"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164"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164"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164" fontId="31" fillId="0" borderId="14" xfId="61" applyFont="1" applyBorder="1" applyAlignment="1" applyProtection="1"/>
    <xf numFmtId="164" fontId="132" fillId="0" borderId="14" xfId="61" applyFill="1" applyBorder="1" applyAlignment="1" applyProtection="1">
      <alignment vertical="center"/>
    </xf>
    <xf numFmtId="164" fontId="3" fillId="0" borderId="14" xfId="61" applyFont="1" applyFill="1" applyBorder="1" applyAlignment="1" applyProtection="1">
      <alignment vertical="center"/>
    </xf>
    <xf numFmtId="164" fontId="31" fillId="0" borderId="0" xfId="61" applyFont="1" applyBorder="1" applyAlignment="1" applyProtection="1"/>
    <xf numFmtId="164" fontId="132" fillId="0" borderId="0" xfId="61" applyFill="1" applyBorder="1" applyAlignment="1" applyProtection="1">
      <alignment vertical="center"/>
    </xf>
    <xf numFmtId="164"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164" fontId="38" fillId="0" borderId="20" xfId="61" applyFont="1" applyBorder="1" applyAlignment="1" applyProtection="1"/>
    <xf numFmtId="164" fontId="39" fillId="0" borderId="20" xfId="61" applyFont="1" applyFill="1" applyBorder="1" applyAlignment="1" applyProtection="1">
      <alignment vertical="center"/>
    </xf>
    <xf numFmtId="164" fontId="39" fillId="0" borderId="20" xfId="61" applyFont="1" applyFill="1" applyBorder="1" applyAlignment="1" applyProtection="1">
      <alignment horizontal="center" vertical="center"/>
    </xf>
    <xf numFmtId="164" fontId="39" fillId="0" borderId="0" xfId="61" applyFont="1" applyFill="1" applyBorder="1" applyAlignment="1" applyProtection="1">
      <alignment vertical="center"/>
    </xf>
    <xf numFmtId="164" fontId="38" fillId="0" borderId="0" xfId="61" applyFont="1" applyBorder="1" applyAlignment="1" applyProtection="1"/>
    <xf numFmtId="164"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0" fontId="14" fillId="0" borderId="23" xfId="0" applyFont="1" applyBorder="1" applyAlignment="1" applyProtection="1">
      <alignment horizontal="center"/>
    </xf>
    <xf numFmtId="1" fontId="21" fillId="20" borderId="24" xfId="0" applyNumberFormat="1" applyFont="1" applyFill="1" applyBorder="1" applyAlignment="1" applyProtection="1">
      <alignment horizontal="center"/>
    </xf>
    <xf numFmtId="0" fontId="14" fillId="0" borderId="25" xfId="0" applyFont="1" applyBorder="1" applyAlignment="1" applyProtection="1">
      <alignment horizontal="center"/>
    </xf>
    <xf numFmtId="1" fontId="21" fillId="20" borderId="26" xfId="0" applyNumberFormat="1" applyFont="1" applyFill="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164" fontId="101" fillId="0" borderId="0" xfId="28" applyFont="1" applyFill="1" applyBorder="1" applyProtection="1"/>
    <xf numFmtId="164" fontId="0" fillId="0" borderId="0" xfId="0" applyNumberFormat="1" applyFill="1" applyBorder="1" applyProtection="1"/>
    <xf numFmtId="164" fontId="68" fillId="0" borderId="28" xfId="61" applyFont="1" applyFill="1" applyBorder="1" applyAlignment="1" applyProtection="1"/>
    <xf numFmtId="164" fontId="39" fillId="0" borderId="28" xfId="61" applyFont="1" applyFill="1" applyBorder="1" applyAlignment="1" applyProtection="1">
      <alignment vertical="center"/>
    </xf>
    <xf numFmtId="0" fontId="67" fillId="0" borderId="29" xfId="0" applyFont="1" applyFill="1" applyBorder="1" applyProtection="1"/>
    <xf numFmtId="0" fontId="67" fillId="0" borderId="30"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31" xfId="0" applyNumberFormat="1" applyFont="1" applyFill="1" applyBorder="1" applyAlignment="1" applyProtection="1">
      <alignment vertical="center"/>
      <protection locked="0"/>
    </xf>
    <xf numFmtId="164" fontId="28" fillId="0" borderId="0" xfId="0" applyNumberFormat="1" applyFont="1" applyAlignment="1" applyProtection="1">
      <alignment horizontal="right"/>
    </xf>
    <xf numFmtId="166"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4" fontId="28" fillId="0" borderId="0" xfId="0" applyNumberFormat="1" applyFont="1" applyProtection="1"/>
    <xf numFmtId="164" fontId="28" fillId="0" borderId="0" xfId="0" applyNumberFormat="1" applyFont="1" applyBorder="1" applyProtection="1"/>
    <xf numFmtId="164" fontId="28" fillId="0" borderId="0" xfId="0" applyNumberFormat="1" applyFont="1" applyBorder="1" applyAlignment="1" applyProtection="1">
      <alignment horizontal="right"/>
    </xf>
    <xf numFmtId="166"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3" fontId="28" fillId="0" borderId="10"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7"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9"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2" xfId="0" applyNumberFormat="1" applyFont="1" applyFill="1" applyBorder="1" applyAlignment="1" applyProtection="1">
      <alignment horizontal="right"/>
    </xf>
    <xf numFmtId="0" fontId="53" fillId="0" borderId="33" xfId="0" applyNumberFormat="1" applyFont="1" applyFill="1" applyBorder="1" applyAlignment="1" applyProtection="1">
      <alignment horizontal="right"/>
    </xf>
    <xf numFmtId="0" fontId="53" fillId="0" borderId="34"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5" xfId="0" applyNumberFormat="1" applyFont="1" applyFill="1" applyBorder="1" applyAlignment="1" applyProtection="1">
      <alignment horizontal="right"/>
    </xf>
    <xf numFmtId="9" fontId="55" fillId="0" borderId="0" xfId="0" applyNumberFormat="1" applyFont="1" applyFill="1" applyBorder="1" applyProtection="1"/>
    <xf numFmtId="0" fontId="53" fillId="0" borderId="36" xfId="0" applyNumberFormat="1" applyFont="1" applyFill="1" applyBorder="1" applyAlignment="1" applyProtection="1">
      <alignment horizontal="right"/>
    </xf>
    <xf numFmtId="0" fontId="53" fillId="0" borderId="37" xfId="0" applyNumberFormat="1" applyFont="1" applyFill="1" applyBorder="1" applyAlignment="1" applyProtection="1">
      <alignment horizontal="right"/>
    </xf>
    <xf numFmtId="0" fontId="34" fillId="0" borderId="38" xfId="0" applyNumberFormat="1" applyFont="1" applyFill="1" applyBorder="1" applyAlignment="1" applyProtection="1">
      <alignment vertical="center"/>
    </xf>
    <xf numFmtId="0" fontId="34" fillId="0" borderId="39" xfId="0" applyNumberFormat="1" applyFont="1" applyFill="1" applyBorder="1" applyAlignment="1" applyProtection="1">
      <alignment vertical="center"/>
    </xf>
    <xf numFmtId="0" fontId="34" fillId="0" borderId="40"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164"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7" fillId="0" borderId="0" xfId="0" applyNumberFormat="1" applyFont="1" applyBorder="1" applyProtection="1"/>
    <xf numFmtId="164" fontId="37" fillId="0" borderId="0" xfId="0" applyNumberFormat="1" applyFont="1" applyProtection="1"/>
    <xf numFmtId="166" fontId="6" fillId="0" borderId="0" xfId="28" applyNumberFormat="1" applyFont="1" applyFill="1" applyBorder="1" applyAlignment="1" applyProtection="1">
      <protection locked="0"/>
    </xf>
    <xf numFmtId="166"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41" xfId="0" applyFont="1" applyFill="1" applyBorder="1" applyAlignment="1" applyProtection="1">
      <alignment horizontal="center" wrapText="1"/>
    </xf>
    <xf numFmtId="0" fontId="28" fillId="0" borderId="42" xfId="0" applyFont="1" applyFill="1" applyBorder="1" applyAlignment="1" applyProtection="1">
      <alignment horizontal="center" wrapText="1"/>
    </xf>
    <xf numFmtId="0" fontId="0" fillId="0" borderId="42" xfId="0" applyBorder="1" applyProtection="1"/>
    <xf numFmtId="164" fontId="17" fillId="0" borderId="0" xfId="47" applyFont="1" applyFill="1" applyAlignment="1" applyProtection="1">
      <alignment horizontal="center" vertical="center"/>
    </xf>
    <xf numFmtId="164" fontId="16" fillId="0" borderId="0" xfId="47" applyFont="1" applyFill="1" applyAlignment="1" applyProtection="1">
      <alignment vertical="center"/>
    </xf>
    <xf numFmtId="0" fontId="84" fillId="0" borderId="0" xfId="0" applyFont="1"/>
    <xf numFmtId="164" fontId="14" fillId="0" borderId="0" xfId="0" applyNumberFormat="1" applyFont="1" applyAlignment="1" applyProtection="1">
      <alignment horizontal="center"/>
    </xf>
    <xf numFmtId="164" fontId="20" fillId="0" borderId="43" xfId="58" applyFont="1" applyBorder="1" applyAlignment="1" applyProtection="1">
      <alignment horizontal="right"/>
    </xf>
    <xf numFmtId="0" fontId="12" fillId="0" borderId="0" xfId="0" applyFont="1"/>
    <xf numFmtId="0" fontId="0" fillId="20" borderId="0" xfId="0" applyFill="1" applyProtection="1"/>
    <xf numFmtId="0" fontId="0" fillId="20" borderId="44" xfId="0" applyFill="1" applyBorder="1" applyProtection="1"/>
    <xf numFmtId="164" fontId="90" fillId="0" borderId="0" xfId="0" applyNumberFormat="1" applyFont="1"/>
    <xf numFmtId="0" fontId="90" fillId="0" borderId="0" xfId="0" applyFont="1"/>
    <xf numFmtId="164" fontId="0" fillId="0" borderId="0" xfId="0" quotePrefix="1" applyNumberFormat="1"/>
    <xf numFmtId="164" fontId="0" fillId="0" borderId="0" xfId="0" applyNumberFormat="1"/>
    <xf numFmtId="0" fontId="34" fillId="0" borderId="45" xfId="0" applyNumberFormat="1" applyFont="1" applyFill="1" applyBorder="1" applyAlignment="1" applyProtection="1">
      <alignment vertical="center"/>
    </xf>
    <xf numFmtId="164" fontId="132" fillId="0" borderId="0" xfId="52" applyFill="1" applyBorder="1" applyAlignment="1" applyProtection="1">
      <alignment horizontal="center"/>
    </xf>
    <xf numFmtId="0" fontId="34" fillId="0" borderId="0" xfId="0" quotePrefix="1" applyFont="1" applyProtection="1"/>
    <xf numFmtId="0" fontId="63" fillId="0" borderId="29" xfId="0" applyFont="1" applyBorder="1" applyAlignment="1">
      <alignment horizontal="justify"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89" fillId="0" borderId="46" xfId="0" applyFont="1" applyBorder="1" applyAlignment="1">
      <alignment horizontal="justify" vertical="center" wrapText="1"/>
    </xf>
    <xf numFmtId="164" fontId="92" fillId="0" borderId="28" xfId="61" applyFont="1" applyFill="1" applyBorder="1" applyAlignment="1" applyProtection="1"/>
    <xf numFmtId="164" fontId="9" fillId="0" borderId="28"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9" xfId="0" applyFont="1" applyBorder="1" applyAlignment="1">
      <alignment vertical="center" wrapText="1"/>
    </xf>
    <xf numFmtId="0" fontId="88" fillId="0" borderId="46" xfId="0" applyFont="1" applyBorder="1" applyAlignment="1">
      <alignment vertical="center" wrapText="1"/>
    </xf>
    <xf numFmtId="0" fontId="2" fillId="0" borderId="48"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9" xfId="0" applyFont="1" applyFill="1" applyBorder="1" applyAlignment="1">
      <alignment horizontal="justify" vertical="center" wrapText="1"/>
    </xf>
    <xf numFmtId="0" fontId="89" fillId="22" borderId="46" xfId="0" applyFont="1" applyFill="1" applyBorder="1" applyAlignment="1">
      <alignment horizontal="justify" vertical="center" wrapText="1"/>
    </xf>
    <xf numFmtId="0" fontId="89" fillId="22" borderId="47" xfId="0" applyFont="1" applyFill="1" applyBorder="1" applyAlignment="1">
      <alignment horizontal="justify" vertical="center" wrapText="1"/>
    </xf>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164" fontId="97" fillId="0" borderId="28"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9"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164"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9" xfId="0" applyFont="1" applyFill="1" applyBorder="1" applyAlignment="1">
      <alignment horizontal="left" vertical="center" wrapText="1"/>
    </xf>
    <xf numFmtId="0" fontId="63" fillId="22" borderId="46" xfId="0" applyFont="1" applyFill="1" applyBorder="1" applyAlignment="1">
      <alignment horizontal="left" vertical="center" wrapText="1"/>
    </xf>
    <xf numFmtId="0" fontId="63" fillId="22" borderId="47" xfId="0" applyFont="1" applyFill="1" applyBorder="1" applyAlignment="1">
      <alignment horizontal="left" vertical="center" wrapText="1"/>
    </xf>
    <xf numFmtId="164"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0" fontId="0" fillId="0" borderId="0" xfId="0" quotePrefix="1" applyProtection="1"/>
    <xf numFmtId="15" fontId="32" fillId="0" borderId="50"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1"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2" xfId="0" applyFont="1" applyBorder="1" applyAlignment="1" applyProtection="1">
      <alignment horizontal="right"/>
    </xf>
    <xf numFmtId="164" fontId="114" fillId="0" borderId="0" xfId="39"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3" fillId="0" borderId="0" xfId="0" applyNumberFormat="1" applyFont="1" applyFill="1" applyBorder="1" applyAlignment="1" applyProtection="1">
      <alignment horizontal="center"/>
    </xf>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3" xfId="0" applyFont="1" applyBorder="1" applyAlignment="1" applyProtection="1"/>
    <xf numFmtId="0" fontId="6" fillId="0" borderId="54" xfId="0" applyFont="1" applyBorder="1" applyAlignment="1" applyProtection="1"/>
    <xf numFmtId="0" fontId="25" fillId="0" borderId="55" xfId="0" applyFont="1" applyBorder="1" applyAlignment="1" applyProtection="1">
      <alignment vertical="distributed"/>
    </xf>
    <xf numFmtId="15" fontId="27" fillId="0" borderId="56"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7"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8" xfId="0" applyNumberFormat="1" applyFont="1" applyFill="1" applyBorder="1" applyAlignment="1" applyProtection="1">
      <alignment horizontal="center"/>
    </xf>
    <xf numFmtId="0" fontId="32" fillId="25" borderId="59" xfId="0" applyFont="1" applyFill="1" applyBorder="1" applyAlignment="1" applyProtection="1">
      <alignment horizontal="centerContinuous"/>
    </xf>
    <xf numFmtId="15" fontId="111" fillId="0" borderId="42" xfId="0" applyNumberFormat="1" applyFont="1" applyFill="1" applyBorder="1" applyAlignment="1" applyProtection="1">
      <alignment horizontal="center" wrapText="1"/>
    </xf>
    <xf numFmtId="15" fontId="111" fillId="0" borderId="60" xfId="0" applyNumberFormat="1" applyFont="1" applyFill="1" applyBorder="1" applyAlignment="1" applyProtection="1">
      <alignment horizontal="center" wrapText="1"/>
    </xf>
    <xf numFmtId="0" fontId="37" fillId="0" borderId="57" xfId="0" applyFont="1" applyFill="1" applyBorder="1" applyAlignment="1" applyProtection="1">
      <alignment horizontal="center"/>
    </xf>
    <xf numFmtId="0" fontId="37" fillId="0" borderId="61" xfId="0" applyFont="1" applyFill="1" applyBorder="1" applyAlignment="1" applyProtection="1">
      <alignment horizontal="center"/>
    </xf>
    <xf numFmtId="0" fontId="32" fillId="25" borderId="62"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9"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63" xfId="0" applyBorder="1" applyAlignment="1" applyProtection="1">
      <alignment horizontal="center"/>
    </xf>
    <xf numFmtId="0" fontId="0" fillId="0" borderId="42" xfId="0" applyFill="1" applyBorder="1" applyAlignment="1" applyProtection="1">
      <alignment horizontal="center"/>
    </xf>
    <xf numFmtId="0" fontId="1" fillId="0" borderId="41" xfId="0" applyFont="1" applyFill="1" applyBorder="1" applyAlignment="1" applyProtection="1">
      <alignment horizontal="center" wrapText="1"/>
    </xf>
    <xf numFmtId="0" fontId="0" fillId="0" borderId="41" xfId="0" applyBorder="1" applyAlignment="1">
      <alignment horizontal="center" wrapText="1"/>
    </xf>
    <xf numFmtId="0" fontId="28" fillId="0" borderId="41" xfId="0" applyFont="1" applyBorder="1" applyAlignment="1">
      <alignment horizontal="center" wrapText="1"/>
    </xf>
    <xf numFmtId="0" fontId="1" fillId="0" borderId="60" xfId="0" applyFont="1" applyFill="1" applyBorder="1" applyAlignment="1" applyProtection="1">
      <alignment horizontal="center" wrapText="1"/>
    </xf>
    <xf numFmtId="3" fontId="67" fillId="23" borderId="31"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0" fontId="77" fillId="0" borderId="64" xfId="0" applyFont="1" applyFill="1" applyBorder="1" applyAlignment="1" applyProtection="1">
      <alignment horizontal="center" vertical="center"/>
    </xf>
    <xf numFmtId="164" fontId="116" fillId="0" borderId="20" xfId="61" applyFont="1" applyFill="1" applyBorder="1" applyAlignment="1" applyProtection="1">
      <alignment vertical="center"/>
    </xf>
    <xf numFmtId="0" fontId="24" fillId="0" borderId="0" xfId="0" applyFont="1" applyProtection="1"/>
    <xf numFmtId="164"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164" fontId="20" fillId="0" borderId="43" xfId="58" applyFont="1" applyFill="1" applyBorder="1" applyAlignment="1" applyProtection="1">
      <alignment horizontal="right"/>
    </xf>
    <xf numFmtId="0" fontId="28" fillId="0" borderId="65" xfId="0" applyFont="1" applyFill="1" applyBorder="1" applyAlignment="1" applyProtection="1">
      <alignment wrapText="1"/>
    </xf>
    <xf numFmtId="0" fontId="34" fillId="0" borderId="66" xfId="0" applyFont="1" applyFill="1" applyBorder="1" applyAlignment="1" applyProtection="1">
      <alignment horizontal="center" wrapText="1"/>
    </xf>
    <xf numFmtId="0" fontId="21" fillId="20" borderId="29" xfId="0" applyFont="1" applyFill="1" applyBorder="1" applyAlignment="1" applyProtection="1"/>
    <xf numFmtId="0" fontId="21" fillId="20" borderId="67" xfId="0" applyFont="1" applyFill="1" applyBorder="1" applyAlignment="1" applyProtection="1"/>
    <xf numFmtId="0" fontId="28" fillId="0" borderId="0" xfId="0" applyFont="1" applyFill="1" applyBorder="1" applyAlignment="1" applyProtection="1">
      <alignment wrapText="1"/>
    </xf>
    <xf numFmtId="9" fontId="113" fillId="26" borderId="10" xfId="56" applyFont="1" applyFill="1" applyBorder="1" applyAlignment="1" applyProtection="1">
      <alignment horizontal="center" vertical="center" wrapText="1"/>
    </xf>
    <xf numFmtId="164" fontId="28" fillId="0" borderId="0" xfId="0" applyNumberFormat="1" applyFont="1" applyAlignment="1" applyProtection="1"/>
    <xf numFmtId="15" fontId="28" fillId="0" borderId="0" xfId="0" applyNumberFormat="1" applyFont="1"/>
    <xf numFmtId="0" fontId="0" fillId="0" borderId="28" xfId="0" applyFill="1" applyBorder="1" applyProtection="1"/>
    <xf numFmtId="164" fontId="117" fillId="0" borderId="28" xfId="61" applyFont="1" applyFill="1" applyBorder="1" applyAlignment="1" applyProtection="1">
      <alignment vertical="center"/>
    </xf>
    <xf numFmtId="0" fontId="0" fillId="0" borderId="28" xfId="0" applyBorder="1" applyProtection="1"/>
    <xf numFmtId="0" fontId="0" fillId="0" borderId="28" xfId="0" applyBorder="1"/>
    <xf numFmtId="9" fontId="15" fillId="0" borderId="0" xfId="56" applyFont="1" applyProtection="1"/>
    <xf numFmtId="14" fontId="24" fillId="24" borderId="43" xfId="58" applyNumberFormat="1" applyFont="1" applyFill="1" applyBorder="1" applyAlignment="1" applyProtection="1">
      <alignment horizontal="center" vertical="center"/>
    </xf>
    <xf numFmtId="164" fontId="24" fillId="24" borderId="43" xfId="58" applyFont="1" applyFill="1" applyBorder="1" applyAlignment="1" applyProtection="1">
      <alignment horizontal="center" vertical="center"/>
    </xf>
    <xf numFmtId="15" fontId="24" fillId="24" borderId="43" xfId="58" applyNumberFormat="1" applyFont="1" applyFill="1" applyBorder="1" applyAlignment="1" applyProtection="1">
      <alignment horizontal="center" vertical="center"/>
    </xf>
    <xf numFmtId="172" fontId="24" fillId="24" borderId="43" xfId="58" applyNumberFormat="1" applyFont="1" applyFill="1" applyBorder="1" applyAlignment="1" applyProtection="1">
      <alignment horizontal="center"/>
    </xf>
    <xf numFmtId="3" fontId="24" fillId="24" borderId="43" xfId="58" applyNumberFormat="1" applyFont="1" applyFill="1" applyBorder="1" applyAlignment="1" applyProtection="1">
      <alignment horizontal="center"/>
    </xf>
    <xf numFmtId="164" fontId="24" fillId="24"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164" fontId="90" fillId="0" borderId="0" xfId="0" applyNumberFormat="1" applyFont="1" applyAlignment="1"/>
    <xf numFmtId="0" fontId="34" fillId="0" borderId="41" xfId="0" applyFont="1" applyFill="1" applyBorder="1" applyAlignment="1" applyProtection="1">
      <alignment horizontal="center" wrapText="1"/>
    </xf>
    <xf numFmtId="0" fontId="67" fillId="0" borderId="68"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9"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4" borderId="10" xfId="0" applyNumberFormat="1" applyFill="1" applyBorder="1" applyProtection="1">
      <protection locked="0"/>
    </xf>
    <xf numFmtId="3" fontId="0" fillId="0" borderId="10" xfId="0" applyNumberFormat="1" applyFill="1" applyBorder="1" applyProtection="1"/>
    <xf numFmtId="3" fontId="0" fillId="24" borderId="69" xfId="0" applyNumberFormat="1" applyFill="1" applyBorder="1" applyProtection="1">
      <protection locked="0"/>
    </xf>
    <xf numFmtId="171" fontId="21" fillId="20" borderId="0" xfId="0" applyNumberFormat="1" applyFont="1" applyFill="1"/>
    <xf numFmtId="171"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 fontId="0" fillId="25" borderId="10" xfId="0" applyNumberFormat="1" applyFill="1" applyBorder="1" applyAlignment="1" applyProtection="1">
      <alignment horizontal="center"/>
      <protection locked="0"/>
    </xf>
    <xf numFmtId="1" fontId="0" fillId="25" borderId="58" xfId="0" applyNumberFormat="1" applyFill="1" applyBorder="1" applyAlignment="1" applyProtection="1">
      <alignment horizontal="center"/>
      <protection locked="0"/>
    </xf>
    <xf numFmtId="1" fontId="0" fillId="25" borderId="70" xfId="0" applyNumberFormat="1" applyFill="1" applyBorder="1" applyAlignment="1" applyProtection="1">
      <alignment horizontal="center"/>
      <protection locked="0"/>
    </xf>
    <xf numFmtId="165" fontId="32" fillId="19" borderId="71" xfId="0" applyNumberFormat="1" applyFont="1" applyFill="1" applyBorder="1" applyAlignment="1" applyProtection="1">
      <alignment horizontal="center"/>
      <protection locked="0"/>
    </xf>
    <xf numFmtId="165" fontId="32" fillId="19" borderId="72" xfId="0" applyNumberFormat="1" applyFont="1" applyFill="1" applyBorder="1" applyAlignment="1" applyProtection="1">
      <alignment horizontal="center"/>
      <protection locked="0"/>
    </xf>
    <xf numFmtId="165" fontId="32" fillId="19" borderId="73" xfId="0" applyNumberFormat="1" applyFont="1" applyFill="1" applyBorder="1" applyAlignment="1" applyProtection="1">
      <alignment horizontal="center"/>
      <protection locked="0"/>
    </xf>
    <xf numFmtId="165" fontId="32" fillId="19" borderId="74" xfId="0" applyNumberFormat="1" applyFont="1" applyFill="1" applyBorder="1" applyAlignment="1" applyProtection="1">
      <alignment horizontal="center"/>
      <protection locked="0"/>
    </xf>
    <xf numFmtId="165" fontId="32" fillId="19" borderId="75" xfId="0" applyNumberFormat="1" applyFont="1" applyFill="1" applyBorder="1" applyAlignment="1" applyProtection="1">
      <alignment horizontal="center"/>
      <protection locked="0"/>
    </xf>
    <xf numFmtId="0" fontId="0" fillId="0" borderId="76" xfId="0" applyFill="1" applyBorder="1" applyAlignment="1" applyProtection="1">
      <alignment horizontal="center"/>
    </xf>
    <xf numFmtId="0" fontId="0" fillId="0" borderId="0" xfId="0" applyBorder="1" applyAlignment="1">
      <alignment horizontal="left" wrapText="1"/>
    </xf>
    <xf numFmtId="164" fontId="35" fillId="0" borderId="0" xfId="0" applyNumberFormat="1" applyFont="1"/>
    <xf numFmtId="0" fontId="0" fillId="0" borderId="0" xfId="0" applyBorder="1" applyAlignment="1">
      <alignment horizontal="left"/>
    </xf>
    <xf numFmtId="164" fontId="1" fillId="0" borderId="43" xfId="58" applyFont="1" applyBorder="1" applyAlignment="1" applyProtection="1">
      <alignment horizontal="right"/>
    </xf>
    <xf numFmtId="164" fontId="125" fillId="0" borderId="0" xfId="51" applyFont="1" applyFill="1" applyBorder="1" applyProtection="1"/>
    <xf numFmtId="3" fontId="28" fillId="25" borderId="71" xfId="0" applyNumberFormat="1" applyFont="1" applyFill="1" applyBorder="1" applyAlignment="1" applyProtection="1">
      <protection locked="0"/>
    </xf>
    <xf numFmtId="3" fontId="28" fillId="25" borderId="77"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70"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8" xfId="28" applyNumberFormat="1" applyFont="1" applyFill="1" applyBorder="1" applyAlignment="1" applyProtection="1"/>
    <xf numFmtId="3" fontId="21" fillId="25" borderId="79" xfId="28" applyNumberFormat="1" applyFont="1" applyFill="1" applyBorder="1" applyAlignment="1" applyProtection="1">
      <protection locked="0"/>
    </xf>
    <xf numFmtId="3" fontId="6" fillId="0" borderId="80" xfId="28" applyNumberFormat="1" applyFont="1" applyFill="1" applyBorder="1" applyAlignment="1" applyProtection="1"/>
    <xf numFmtId="165" fontId="14" fillId="19" borderId="81" xfId="0" applyNumberFormat="1" applyFont="1" applyFill="1" applyBorder="1" applyAlignment="1" applyProtection="1">
      <alignment horizontal="center"/>
      <protection locked="0"/>
    </xf>
    <xf numFmtId="165" fontId="14" fillId="19" borderId="82"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1" fillId="25" borderId="83" xfId="28" applyNumberFormat="1" applyFont="1" applyFill="1" applyBorder="1" applyAlignment="1" applyProtection="1">
      <protection locked="0"/>
    </xf>
    <xf numFmtId="3" fontId="1" fillId="25" borderId="83" xfId="28" applyNumberFormat="1" applyFont="1" applyFill="1" applyBorder="1" applyProtection="1">
      <protection locked="0"/>
    </xf>
    <xf numFmtId="49" fontId="25" fillId="0" borderId="84" xfId="0" applyNumberFormat="1" applyFont="1" applyFill="1" applyBorder="1" applyAlignment="1" applyProtection="1">
      <alignment vertical="center" wrapText="1"/>
    </xf>
    <xf numFmtId="0" fontId="91" fillId="0" borderId="85" xfId="0" applyNumberFormat="1" applyFont="1" applyFill="1" applyBorder="1" applyAlignment="1" applyProtection="1">
      <alignment horizontal="center" vertical="center" wrapText="1"/>
    </xf>
    <xf numFmtId="0" fontId="91" fillId="0" borderId="86" xfId="0" applyNumberFormat="1" applyFont="1" applyFill="1" applyBorder="1" applyAlignment="1" applyProtection="1">
      <alignment horizontal="center" vertical="center" wrapText="1"/>
    </xf>
    <xf numFmtId="49" fontId="26" fillId="0" borderId="87" xfId="0" applyNumberFormat="1" applyFont="1" applyFill="1" applyBorder="1" applyAlignment="1" applyProtection="1">
      <alignment wrapText="1"/>
      <protection locked="0"/>
    </xf>
    <xf numFmtId="3" fontId="1" fillId="25" borderId="88" xfId="28" applyNumberFormat="1" applyFont="1" applyFill="1" applyBorder="1" applyProtection="1">
      <protection locked="0"/>
    </xf>
    <xf numFmtId="49" fontId="26" fillId="0" borderId="87" xfId="0" applyNumberFormat="1" applyFont="1" applyFill="1" applyBorder="1" applyAlignment="1" applyProtection="1">
      <protection locked="0"/>
    </xf>
    <xf numFmtId="0" fontId="26" fillId="0" borderId="87" xfId="0" applyFont="1" applyFill="1" applyBorder="1" applyAlignment="1" applyProtection="1">
      <alignment wrapText="1"/>
      <protection locked="0"/>
    </xf>
    <xf numFmtId="0" fontId="0" fillId="0" borderId="89" xfId="0" applyBorder="1" applyAlignment="1" applyProtection="1"/>
    <xf numFmtId="3" fontId="0" fillId="0" borderId="90" xfId="0" applyNumberFormat="1" applyBorder="1" applyProtection="1"/>
    <xf numFmtId="3" fontId="0" fillId="0" borderId="91"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9" xfId="0" applyNumberFormat="1" applyFill="1" applyBorder="1" applyAlignment="1" applyProtection="1">
      <alignment horizontal="left"/>
      <protection locked="0"/>
    </xf>
    <xf numFmtId="0" fontId="0" fillId="24" borderId="69" xfId="0" applyNumberFormat="1" applyFill="1" applyBorder="1" applyProtection="1">
      <protection locked="0"/>
    </xf>
    <xf numFmtId="0" fontId="0" fillId="24" borderId="69" xfId="0" applyNumberFormat="1" applyFill="1" applyBorder="1" applyAlignment="1" applyProtection="1">
      <alignment horizontal="center"/>
      <protection locked="0"/>
    </xf>
    <xf numFmtId="164" fontId="132" fillId="25" borderId="92" xfId="61" applyFill="1" applyBorder="1" applyAlignment="1" applyProtection="1">
      <alignment vertical="center"/>
    </xf>
    <xf numFmtId="0" fontId="0" fillId="22" borderId="93" xfId="0" applyFill="1" applyBorder="1"/>
    <xf numFmtId="0" fontId="0" fillId="0" borderId="20" xfId="0" applyBorder="1" applyProtection="1"/>
    <xf numFmtId="164" fontId="39" fillId="24" borderId="94" xfId="61" applyFont="1" applyFill="1" applyBorder="1" applyAlignment="1" applyProtection="1">
      <alignment horizontal="center" vertical="center"/>
    </xf>
    <xf numFmtId="164" fontId="39" fillId="0" borderId="95" xfId="61"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0" fillId="0" borderId="0" xfId="0" applyNumberFormat="1" applyFill="1" applyBorder="1" applyProtection="1">
      <protection locked="0"/>
    </xf>
    <xf numFmtId="3" fontId="67" fillId="0" borderId="10"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68" fontId="0" fillId="0" borderId="10" xfId="0" applyNumberFormat="1" applyFill="1" applyBorder="1" applyAlignment="1" applyProtection="1">
      <alignment horizontal="center"/>
    </xf>
    <xf numFmtId="168" fontId="15" fillId="27" borderId="99" xfId="0" applyNumberFormat="1" applyFont="1" applyFill="1" applyBorder="1" applyAlignment="1" applyProtection="1">
      <alignment horizontal="center"/>
    </xf>
    <xf numFmtId="168" fontId="21" fillId="27" borderId="99" xfId="0" applyNumberFormat="1" applyFont="1" applyFill="1" applyBorder="1" applyAlignment="1" applyProtection="1">
      <alignment horizontal="center"/>
    </xf>
    <xf numFmtId="49" fontId="84" fillId="0" borderId="10" xfId="0" applyNumberFormat="1" applyFont="1" applyBorder="1" applyAlignment="1" applyProtection="1">
      <alignment horizontal="center"/>
      <protection locked="0"/>
    </xf>
    <xf numFmtId="164"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5" fontId="14" fillId="19" borderId="110" xfId="0" applyNumberFormat="1" applyFont="1" applyFill="1" applyBorder="1" applyAlignment="1" applyProtection="1">
      <alignment horizontal="center"/>
      <protection locked="0"/>
    </xf>
    <xf numFmtId="165" fontId="14" fillId="19" borderId="114" xfId="0" applyNumberFormat="1" applyFont="1" applyFill="1" applyBorder="1" applyAlignment="1" applyProtection="1">
      <alignment horizontal="center"/>
      <protection locked="0"/>
    </xf>
    <xf numFmtId="168" fontId="0" fillId="20" borderId="10" xfId="0" applyNumberFormat="1" applyFill="1" applyBorder="1" applyAlignment="1" applyProtection="1">
      <alignment horizontal="center"/>
    </xf>
    <xf numFmtId="168" fontId="0" fillId="0" borderId="10" xfId="0" applyNumberFormat="1" applyBorder="1" applyAlignment="1" applyProtection="1">
      <alignment horizontal="center"/>
    </xf>
    <xf numFmtId="168" fontId="0" fillId="20" borderId="69" xfId="0" applyNumberFormat="1" applyFill="1" applyBorder="1" applyAlignment="1" applyProtection="1">
      <alignment horizontal="center"/>
    </xf>
    <xf numFmtId="168" fontId="0" fillId="0" borderId="69" xfId="0" applyNumberFormat="1" applyBorder="1" applyAlignment="1" applyProtection="1">
      <alignment horizontal="center"/>
    </xf>
    <xf numFmtId="0" fontId="67" fillId="28" borderId="10" xfId="0" applyFont="1" applyFill="1" applyBorder="1" applyAlignment="1" applyProtection="1">
      <alignment horizontal="center"/>
    </xf>
    <xf numFmtId="0" fontId="67" fillId="29" borderId="10" xfId="0" applyFont="1" applyFill="1" applyBorder="1" applyAlignment="1" applyProtection="1">
      <alignment horizontal="center"/>
    </xf>
    <xf numFmtId="3" fontId="67" fillId="30" borderId="10" xfId="0" applyNumberFormat="1" applyFont="1" applyFill="1" applyBorder="1" applyAlignment="1" applyProtection="1">
      <alignment vertical="center"/>
      <protection locked="0"/>
    </xf>
    <xf numFmtId="3" fontId="67" fillId="30" borderId="31" xfId="0" applyNumberFormat="1" applyFont="1" applyFill="1" applyBorder="1" applyAlignment="1" applyProtection="1">
      <alignment vertical="center"/>
      <protection locked="0"/>
    </xf>
    <xf numFmtId="3" fontId="67" fillId="23" borderId="31" xfId="0" applyNumberFormat="1" applyFont="1" applyFill="1" applyBorder="1" applyAlignment="1" applyProtection="1">
      <alignment horizontal="right" vertical="center"/>
      <protection locked="0"/>
    </xf>
    <xf numFmtId="0" fontId="67" fillId="28" borderId="98" xfId="0" applyFont="1" applyFill="1" applyBorder="1" applyAlignment="1" applyProtection="1">
      <alignment horizontal="center"/>
    </xf>
    <xf numFmtId="3" fontId="67" fillId="23" borderId="98" xfId="0" applyNumberFormat="1" applyFont="1" applyFill="1" applyBorder="1" applyAlignment="1" applyProtection="1">
      <alignment horizontal="right" vertical="center"/>
      <protection locked="0"/>
    </xf>
    <xf numFmtId="3" fontId="67" fillId="23" borderId="115" xfId="0" applyNumberFormat="1" applyFont="1" applyFill="1" applyBorder="1" applyAlignment="1" applyProtection="1">
      <alignment horizontal="right" vertical="center"/>
      <protection locked="0"/>
    </xf>
    <xf numFmtId="0" fontId="67" fillId="28" borderId="10" xfId="0" applyFont="1" applyFill="1" applyBorder="1" applyProtection="1"/>
    <xf numFmtId="3" fontId="67" fillId="28" borderId="10" xfId="0" applyNumberFormat="1" applyFont="1" applyFill="1" applyBorder="1" applyAlignment="1" applyProtection="1">
      <alignment vertical="center"/>
    </xf>
    <xf numFmtId="0" fontId="0" fillId="0" borderId="240" xfId="0" applyBorder="1"/>
    <xf numFmtId="0" fontId="0" fillId="0" borderId="69" xfId="0" applyNumberFormat="1" applyFill="1" applyBorder="1" applyProtection="1"/>
    <xf numFmtId="3" fontId="0" fillId="0" borderId="69" xfId="0" applyNumberFormat="1" applyFill="1" applyBorder="1" applyProtection="1"/>
    <xf numFmtId="168" fontId="0" fillId="0" borderId="69" xfId="0" applyNumberFormat="1" applyFill="1" applyBorder="1" applyAlignment="1" applyProtection="1">
      <alignment horizontal="center"/>
    </xf>
    <xf numFmtId="0" fontId="0" fillId="0" borderId="61" xfId="0" applyBorder="1" applyAlignment="1" applyProtection="1">
      <alignment horizontal="center" wrapText="1"/>
    </xf>
    <xf numFmtId="3" fontId="1" fillId="0" borderId="69" xfId="28" applyNumberFormat="1" applyFont="1" applyFill="1" applyBorder="1" applyAlignment="1" applyProtection="1">
      <alignment horizontal="right"/>
    </xf>
    <xf numFmtId="3" fontId="0" fillId="0" borderId="69" xfId="0" applyNumberFormat="1" applyBorder="1" applyAlignment="1" applyProtection="1">
      <alignment horizontal="right" wrapText="1"/>
    </xf>
    <xf numFmtId="0" fontId="0" fillId="37" borderId="26" xfId="0" applyNumberFormat="1" applyFill="1" applyBorder="1" applyAlignment="1" applyProtection="1">
      <alignment horizontal="center"/>
      <protection locked="0"/>
    </xf>
    <xf numFmtId="3" fontId="0" fillId="24" borderId="59" xfId="0" applyNumberFormat="1" applyFill="1" applyBorder="1" applyAlignment="1" applyProtection="1">
      <alignment horizontal="right" wrapText="1"/>
      <protection locked="0"/>
    </xf>
    <xf numFmtId="3" fontId="0" fillId="0" borderId="59" xfId="0" applyNumberFormat="1" applyBorder="1" applyAlignment="1" applyProtection="1">
      <alignment horizontal="right" wrapText="1"/>
    </xf>
    <xf numFmtId="3" fontId="0" fillId="0" borderId="62" xfId="0" applyNumberFormat="1" applyBorder="1" applyAlignment="1" applyProtection="1">
      <alignment horizontal="right" wrapText="1"/>
    </xf>
    <xf numFmtId="168" fontId="0" fillId="0" borderId="59" xfId="0" applyNumberFormat="1" applyFill="1" applyBorder="1" applyProtection="1"/>
    <xf numFmtId="168" fontId="0" fillId="0" borderId="62" xfId="0" applyNumberFormat="1" applyFill="1" applyBorder="1" applyProtection="1"/>
    <xf numFmtId="3" fontId="67" fillId="0" borderId="31" xfId="0" applyNumberFormat="1" applyFont="1" applyFill="1" applyBorder="1" applyAlignment="1" applyProtection="1">
      <alignment vertical="center"/>
    </xf>
    <xf numFmtId="3" fontId="67" fillId="28" borderId="31" xfId="0" applyNumberFormat="1" applyFont="1" applyFill="1" applyBorder="1" applyAlignment="1" applyProtection="1">
      <alignment vertical="center"/>
    </xf>
    <xf numFmtId="3" fontId="67" fillId="0" borderId="241"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9" fontId="67" fillId="22" borderId="10" xfId="0" applyNumberFormat="1" applyFont="1" applyFill="1" applyBorder="1" applyAlignment="1" applyProtection="1">
      <alignment vertical="center"/>
      <protection locked="0"/>
    </xf>
    <xf numFmtId="9" fontId="67" fillId="23" borderId="10" xfId="0" applyNumberFormat="1" applyFont="1" applyFill="1" applyBorder="1" applyAlignment="1" applyProtection="1">
      <alignment vertical="center"/>
      <protection locked="0"/>
    </xf>
    <xf numFmtId="9" fontId="67" fillId="23" borderId="10" xfId="0" applyNumberFormat="1" applyFont="1" applyFill="1" applyBorder="1" applyAlignment="1" applyProtection="1">
      <alignment horizontal="right" vertical="center"/>
      <protection locked="0"/>
    </xf>
    <xf numFmtId="9" fontId="67" fillId="30" borderId="10" xfId="0" applyNumberFormat="1" applyFont="1" applyFill="1" applyBorder="1" applyAlignment="1" applyProtection="1">
      <alignment vertical="center"/>
      <protection locked="0"/>
    </xf>
    <xf numFmtId="9" fontId="67" fillId="0" borderId="10" xfId="0" applyNumberFormat="1" applyFont="1" applyFill="1" applyBorder="1" applyAlignment="1" applyProtection="1">
      <alignment vertical="center"/>
    </xf>
    <xf numFmtId="9" fontId="67" fillId="28" borderId="10" xfId="0" applyNumberFormat="1" applyFont="1" applyFill="1" applyBorder="1" applyAlignment="1" applyProtection="1">
      <alignment vertical="center"/>
    </xf>
    <xf numFmtId="1" fontId="133" fillId="25" borderId="58" xfId="0" applyNumberFormat="1" applyFont="1" applyFill="1" applyBorder="1" applyAlignment="1" applyProtection="1">
      <alignment horizontal="center"/>
      <protection locked="0"/>
    </xf>
    <xf numFmtId="1" fontId="133" fillId="25" borderId="116" xfId="0" applyNumberFormat="1" applyFont="1" applyFill="1" applyBorder="1" applyAlignment="1" applyProtection="1">
      <alignment horizontal="center"/>
      <protection locked="0"/>
    </xf>
    <xf numFmtId="9" fontId="67" fillId="23" borderId="10" xfId="56" applyFont="1" applyFill="1" applyBorder="1" applyAlignment="1" applyProtection="1">
      <alignment horizontal="right" vertical="center"/>
      <protection locked="0"/>
    </xf>
    <xf numFmtId="9" fontId="2" fillId="23" borderId="0" xfId="56" applyFont="1" applyFill="1" applyBorder="1" applyAlignment="1" applyProtection="1">
      <alignment horizontal="right" vertical="center"/>
      <protection locked="0"/>
    </xf>
    <xf numFmtId="3" fontId="2" fillId="30" borderId="0" xfId="0" applyNumberFormat="1" applyFont="1" applyFill="1" applyBorder="1" applyAlignment="1" applyProtection="1">
      <alignment vertical="center"/>
      <protection locked="0"/>
    </xf>
    <xf numFmtId="9" fontId="2" fillId="30" borderId="0" xfId="0" applyNumberFormat="1" applyFont="1" applyFill="1" applyBorder="1" applyAlignment="1" applyProtection="1">
      <alignment vertical="center"/>
      <protection locked="0"/>
    </xf>
    <xf numFmtId="9" fontId="2" fillId="23" borderId="0" xfId="0" applyNumberFormat="1" applyFont="1" applyFill="1" applyBorder="1" applyAlignment="1" applyProtection="1">
      <alignment horizontal="right" vertical="center"/>
      <protection locked="0"/>
    </xf>
    <xf numFmtId="3" fontId="2" fillId="22" borderId="0" xfId="0" applyNumberFormat="1" applyFont="1" applyFill="1" applyBorder="1" applyAlignment="1" applyProtection="1">
      <alignment vertical="center"/>
      <protection locked="0"/>
    </xf>
    <xf numFmtId="9" fontId="2" fillId="23" borderId="0" xfId="0" applyNumberFormat="1" applyFont="1" applyFill="1" applyBorder="1" applyAlignment="1" applyProtection="1">
      <alignment vertical="center"/>
      <protection locked="0"/>
    </xf>
    <xf numFmtId="9" fontId="2" fillId="22" borderId="0" xfId="0" applyNumberFormat="1" applyFont="1" applyFill="1" applyBorder="1" applyAlignment="1" applyProtection="1">
      <alignment vertical="center"/>
      <protection locked="0"/>
    </xf>
    <xf numFmtId="3" fontId="2" fillId="22" borderId="10" xfId="0" applyNumberFormat="1" applyFont="1" applyFill="1" applyBorder="1" applyAlignment="1" applyProtection="1">
      <alignment vertical="center"/>
      <protection locked="0"/>
    </xf>
    <xf numFmtId="3" fontId="28" fillId="0" borderId="10" xfId="0" applyNumberFormat="1" applyFont="1" applyBorder="1" applyAlignment="1" applyProtection="1">
      <alignment horizontal="right" vertical="center" wrapText="1"/>
    </xf>
    <xf numFmtId="9" fontId="2" fillId="23" borderId="10" xfId="56" applyFont="1" applyFill="1" applyBorder="1" applyAlignment="1" applyProtection="1">
      <alignment horizontal="right" vertical="center"/>
      <protection locked="0"/>
    </xf>
    <xf numFmtId="3" fontId="67" fillId="22" borderId="29" xfId="0" applyNumberFormat="1" applyFont="1" applyFill="1" applyBorder="1" applyAlignment="1" applyProtection="1">
      <alignment vertical="center"/>
      <protection locked="0"/>
    </xf>
    <xf numFmtId="3" fontId="2" fillId="22" borderId="29" xfId="0" applyNumberFormat="1" applyFont="1" applyFill="1" applyBorder="1" applyAlignment="1" applyProtection="1">
      <alignment vertical="center"/>
      <protection locked="0"/>
    </xf>
    <xf numFmtId="3" fontId="2" fillId="23" borderId="29" xfId="0" applyNumberFormat="1" applyFont="1" applyFill="1" applyBorder="1" applyAlignment="1" applyProtection="1">
      <alignment horizontal="right" vertical="center"/>
      <protection locked="0"/>
    </xf>
    <xf numFmtId="3" fontId="2" fillId="23" borderId="29" xfId="0" applyNumberFormat="1" applyFont="1" applyFill="1" applyBorder="1" applyAlignment="1" applyProtection="1">
      <alignment vertical="center"/>
      <protection locked="0"/>
    </xf>
    <xf numFmtId="3" fontId="2" fillId="30" borderId="29" xfId="0" applyNumberFormat="1" applyFont="1" applyFill="1" applyBorder="1" applyAlignment="1" applyProtection="1">
      <alignment horizontal="right" vertical="center"/>
      <protection locked="0"/>
    </xf>
    <xf numFmtId="3" fontId="67" fillId="30" borderId="29" xfId="0" applyNumberFormat="1" applyFont="1" applyFill="1" applyBorder="1" applyAlignment="1" applyProtection="1">
      <alignment vertical="center"/>
      <protection locked="0"/>
    </xf>
    <xf numFmtId="9" fontId="2" fillId="22" borderId="10" xfId="0" applyNumberFormat="1" applyFont="1" applyFill="1" applyBorder="1" applyAlignment="1" applyProtection="1">
      <alignment vertical="center"/>
      <protection locked="0"/>
    </xf>
    <xf numFmtId="9" fontId="2" fillId="23" borderId="10" xfId="0" applyNumberFormat="1" applyFont="1" applyFill="1" applyBorder="1" applyAlignment="1" applyProtection="1">
      <alignment vertical="center"/>
      <protection locked="0"/>
    </xf>
    <xf numFmtId="9" fontId="2" fillId="30" borderId="10" xfId="0" applyNumberFormat="1" applyFont="1" applyFill="1" applyBorder="1" applyAlignment="1" applyProtection="1">
      <alignment vertical="center"/>
      <protection locked="0"/>
    </xf>
    <xf numFmtId="3" fontId="2" fillId="30" borderId="10" xfId="0" applyNumberFormat="1" applyFont="1" applyFill="1" applyBorder="1" applyAlignment="1" applyProtection="1">
      <alignment vertical="center"/>
      <protection locked="0"/>
    </xf>
    <xf numFmtId="3" fontId="21" fillId="25" borderId="0" xfId="28" applyNumberFormat="1" applyFont="1" applyFill="1" applyBorder="1" applyAlignment="1" applyProtection="1">
      <protection locked="0"/>
    </xf>
    <xf numFmtId="3" fontId="21" fillId="25" borderId="0" xfId="28" applyNumberFormat="1" applyFont="1" applyFill="1" applyBorder="1" applyProtection="1">
      <protection locked="0"/>
    </xf>
    <xf numFmtId="164" fontId="17" fillId="31" borderId="0" xfId="39" applyFont="1" applyFill="1" applyBorder="1" applyAlignment="1">
      <alignment horizontal="center" vertical="center"/>
    </xf>
    <xf numFmtId="164"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164" fontId="88" fillId="0" borderId="29" xfId="0" applyNumberFormat="1" applyFont="1" applyBorder="1" applyAlignment="1">
      <alignment horizontal="justify" vertical="center" wrapText="1"/>
    </xf>
    <xf numFmtId="0" fontId="88" fillId="0" borderId="46" xfId="0" applyFont="1" applyBorder="1" applyAlignment="1">
      <alignment horizontal="justify" vertical="center"/>
    </xf>
    <xf numFmtId="0" fontId="88" fillId="0" borderId="47" xfId="0" applyFont="1" applyBorder="1" applyAlignment="1">
      <alignment horizontal="justify" vertical="center"/>
    </xf>
    <xf numFmtId="0" fontId="89" fillId="0" borderId="29" xfId="0" applyFont="1" applyBorder="1" applyAlignment="1">
      <alignment horizontal="justify" vertical="center" wrapText="1"/>
    </xf>
    <xf numFmtId="0" fontId="89" fillId="0" borderId="46" xfId="0" applyFont="1" applyBorder="1" applyAlignment="1">
      <alignment horizontal="justify" vertical="center" wrapText="1"/>
    </xf>
    <xf numFmtId="0" fontId="89" fillId="0" borderId="47" xfId="0" applyFont="1" applyBorder="1" applyAlignment="1">
      <alignment horizontal="justify" vertical="center" wrapText="1"/>
    </xf>
    <xf numFmtId="0" fontId="63" fillId="0" borderId="29" xfId="0" applyFont="1" applyBorder="1" applyAlignment="1">
      <alignment horizontal="left" vertical="center" wrapText="1"/>
    </xf>
    <xf numFmtId="0" fontId="63" fillId="0" borderId="46" xfId="0" applyFont="1" applyBorder="1" applyAlignment="1">
      <alignment horizontal="left" vertical="center" wrapText="1"/>
    </xf>
    <xf numFmtId="0" fontId="63" fillId="0" borderId="47" xfId="0" applyFont="1" applyBorder="1" applyAlignment="1">
      <alignment horizontal="left" vertical="center" wrapText="1"/>
    </xf>
    <xf numFmtId="0" fontId="0" fillId="0" borderId="118" xfId="0" applyBorder="1" applyAlignment="1">
      <alignment horizontal="center"/>
    </xf>
    <xf numFmtId="0" fontId="0" fillId="0" borderId="118" xfId="0" applyBorder="1" applyAlignment="1">
      <alignment horizontal="center" wrapText="1"/>
    </xf>
    <xf numFmtId="0" fontId="88" fillId="0" borderId="46" xfId="0" applyFont="1" applyBorder="1" applyAlignment="1">
      <alignment horizontal="justify" vertical="center" wrapText="1"/>
    </xf>
    <xf numFmtId="0" fontId="88" fillId="0" borderId="47" xfId="0" applyFont="1" applyBorder="1" applyAlignment="1">
      <alignment horizontal="justify" vertical="center" wrapText="1"/>
    </xf>
    <xf numFmtId="164" fontId="17" fillId="32" borderId="0" xfId="47" applyFont="1" applyFill="1" applyAlignment="1" applyProtection="1">
      <alignment horizontal="center" vertical="center"/>
    </xf>
    <xf numFmtId="0" fontId="86" fillId="0" borderId="0" xfId="0" applyFont="1" applyAlignment="1">
      <alignment horizontal="center"/>
    </xf>
    <xf numFmtId="0" fontId="87" fillId="25" borderId="29" xfId="0" applyFont="1" applyFill="1" applyBorder="1" applyAlignment="1">
      <alignment horizontal="center"/>
    </xf>
    <xf numFmtId="0" fontId="87" fillId="25" borderId="46" xfId="0" applyFont="1" applyFill="1" applyBorder="1" applyAlignment="1">
      <alignment horizontal="center"/>
    </xf>
    <xf numFmtId="0" fontId="87" fillId="25" borderId="47" xfId="0" applyFont="1" applyFill="1" applyBorder="1" applyAlignment="1">
      <alignment horizontal="center"/>
    </xf>
    <xf numFmtId="9" fontId="89" fillId="0" borderId="29" xfId="56" applyFont="1" applyBorder="1" applyAlignment="1">
      <alignment horizontal="justify" vertical="center" wrapText="1"/>
    </xf>
    <xf numFmtId="9" fontId="89" fillId="0" borderId="46" xfId="56" applyFont="1" applyBorder="1" applyAlignment="1">
      <alignment horizontal="justify" vertical="center" wrapText="1"/>
    </xf>
    <xf numFmtId="9" fontId="89" fillId="0" borderId="47" xfId="56" applyFont="1" applyBorder="1" applyAlignment="1">
      <alignment horizontal="justify" vertical="center" wrapText="1"/>
    </xf>
    <xf numFmtId="164" fontId="88" fillId="0" borderId="29" xfId="0" applyNumberFormat="1" applyFont="1" applyBorder="1" applyAlignment="1">
      <alignment horizontal="left" vertical="center" wrapText="1"/>
    </xf>
    <xf numFmtId="0" fontId="88" fillId="0" borderId="46" xfId="0" applyFont="1" applyBorder="1" applyAlignment="1">
      <alignment horizontal="left" vertical="center" wrapText="1"/>
    </xf>
    <xf numFmtId="0" fontId="88" fillId="0" borderId="47" xfId="0" applyFont="1" applyBorder="1" applyAlignment="1">
      <alignment horizontal="left" vertical="center" wrapText="1"/>
    </xf>
    <xf numFmtId="0" fontId="88" fillId="0" borderId="46" xfId="0" applyFont="1" applyBorder="1" applyAlignment="1">
      <alignment horizontal="left" vertical="center"/>
    </xf>
    <xf numFmtId="0" fontId="88" fillId="0" borderId="47" xfId="0" applyFont="1" applyBorder="1" applyAlignment="1">
      <alignment horizontal="left" vertical="center"/>
    </xf>
    <xf numFmtId="0" fontId="0" fillId="0" borderId="0" xfId="0" applyBorder="1" applyAlignment="1">
      <alignment horizontal="center" wrapText="1"/>
    </xf>
    <xf numFmtId="0" fontId="87" fillId="24" borderId="29" xfId="0" applyFont="1" applyFill="1" applyBorder="1" applyAlignment="1">
      <alignment horizontal="center"/>
    </xf>
    <xf numFmtId="0" fontId="87" fillId="24" borderId="46" xfId="0" applyFont="1" applyFill="1" applyBorder="1" applyAlignment="1">
      <alignment horizontal="center"/>
    </xf>
    <xf numFmtId="0" fontId="87" fillId="24" borderId="47" xfId="0" applyFont="1" applyFill="1" applyBorder="1" applyAlignment="1">
      <alignment horizontal="center"/>
    </xf>
    <xf numFmtId="0" fontId="0" fillId="0" borderId="0" xfId="0" applyBorder="1" applyAlignment="1">
      <alignment horizontal="center"/>
    </xf>
    <xf numFmtId="0" fontId="0" fillId="0" borderId="29"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94" fillId="22" borderId="29" xfId="0" applyFont="1" applyFill="1" applyBorder="1" applyAlignment="1">
      <alignment horizontal="center" vertical="center" wrapText="1"/>
    </xf>
    <xf numFmtId="0" fontId="94" fillId="22" borderId="46" xfId="0" applyFont="1" applyFill="1" applyBorder="1" applyAlignment="1">
      <alignment horizontal="center" vertical="center"/>
    </xf>
    <xf numFmtId="0" fontId="94" fillId="22" borderId="47" xfId="0" applyFont="1" applyFill="1" applyBorder="1" applyAlignment="1">
      <alignment horizontal="center" vertical="center"/>
    </xf>
    <xf numFmtId="0" fontId="93" fillId="22" borderId="29" xfId="0" applyFont="1" applyFill="1" applyBorder="1" applyAlignment="1">
      <alignment horizontal="center" vertical="center"/>
    </xf>
    <xf numFmtId="0" fontId="93" fillId="22" borderId="46" xfId="0" applyFont="1" applyFill="1" applyBorder="1" applyAlignment="1">
      <alignment horizontal="center" vertical="center"/>
    </xf>
    <xf numFmtId="0" fontId="93" fillId="22" borderId="47" xfId="0" applyFont="1" applyFill="1" applyBorder="1" applyAlignment="1">
      <alignment horizontal="center" vertical="center"/>
    </xf>
    <xf numFmtId="0" fontId="24" fillId="0" borderId="29"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93" fillId="22" borderId="29" xfId="0" applyFont="1" applyFill="1" applyBorder="1" applyAlignment="1">
      <alignment horizontal="center" wrapText="1"/>
    </xf>
    <xf numFmtId="0" fontId="93" fillId="22" borderId="46" xfId="0" applyFont="1" applyFill="1" applyBorder="1" applyAlignment="1">
      <alignment horizontal="center" wrapText="1"/>
    </xf>
    <xf numFmtId="0" fontId="93" fillId="22" borderId="47" xfId="0" applyFont="1" applyFill="1" applyBorder="1" applyAlignment="1">
      <alignment horizontal="center" wrapText="1"/>
    </xf>
    <xf numFmtId="0" fontId="93" fillId="22" borderId="29" xfId="0" applyFont="1" applyFill="1" applyBorder="1" applyAlignment="1">
      <alignment horizontal="center"/>
    </xf>
    <xf numFmtId="0" fontId="93" fillId="22" borderId="46" xfId="0" applyFont="1" applyFill="1" applyBorder="1" applyAlignment="1">
      <alignment horizontal="center"/>
    </xf>
    <xf numFmtId="0" fontId="93" fillId="22" borderId="47" xfId="0" applyFont="1" applyFill="1" applyBorder="1" applyAlignment="1">
      <alignment horizontal="center"/>
    </xf>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119" xfId="0" applyFont="1" applyBorder="1" applyAlignment="1">
      <alignment horizontal="left" vertical="center" wrapText="1"/>
    </xf>
    <xf numFmtId="0" fontId="63" fillId="0" borderId="68"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63" fillId="0" borderId="119" xfId="0" applyFont="1" applyBorder="1" applyAlignment="1">
      <alignment horizontal="justify" wrapText="1"/>
    </xf>
    <xf numFmtId="0" fontId="89" fillId="0" borderId="68"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89" fillId="0" borderId="46" xfId="0" applyFont="1" applyBorder="1" applyAlignment="1" applyProtection="1">
      <alignment horizontal="left" vertical="center" wrapText="1"/>
      <protection locked="0"/>
    </xf>
    <xf numFmtId="0" fontId="89" fillId="0" borderId="47" xfId="0" applyFont="1" applyBorder="1" applyAlignment="1" applyProtection="1">
      <alignment horizontal="left" vertical="center" wrapText="1"/>
      <protection locked="0"/>
    </xf>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0" fontId="123" fillId="0" borderId="68" xfId="0" applyFont="1" applyBorder="1" applyAlignment="1">
      <alignment horizontal="justify" vertical="center" wrapText="1"/>
    </xf>
    <xf numFmtId="0" fontId="123" fillId="0" borderId="110" xfId="0" applyFont="1" applyBorder="1" applyAlignment="1">
      <alignment horizontal="justify" vertical="center" wrapText="1"/>
    </xf>
    <xf numFmtId="0" fontId="123" fillId="0" borderId="112" xfId="0" applyFont="1" applyBorder="1" applyAlignment="1">
      <alignment horizontal="justify" vertical="center" wrapText="1"/>
    </xf>
    <xf numFmtId="0" fontId="123" fillId="0" borderId="29" xfId="0" applyFont="1" applyBorder="1" applyAlignment="1">
      <alignment horizontal="justify" vertical="center" wrapText="1"/>
    </xf>
    <xf numFmtId="0" fontId="123" fillId="0" borderId="46" xfId="0" applyFont="1" applyBorder="1" applyAlignment="1">
      <alignment horizontal="justify" vertical="center" wrapText="1"/>
    </xf>
    <xf numFmtId="0" fontId="123" fillId="0" borderId="47" xfId="0" applyFont="1" applyBorder="1" applyAlignment="1">
      <alignment horizontal="justify" vertical="center" wrapText="1"/>
    </xf>
    <xf numFmtId="0" fontId="123" fillId="0" borderId="29" xfId="0" applyFont="1" applyBorder="1" applyAlignment="1">
      <alignment horizontal="left" vertical="center" wrapText="1"/>
    </xf>
    <xf numFmtId="0" fontId="120" fillId="0" borderId="46" xfId="0" applyFont="1" applyBorder="1" applyAlignment="1">
      <alignment horizontal="left" vertical="center" wrapText="1"/>
    </xf>
    <xf numFmtId="0" fontId="120" fillId="0" borderId="47" xfId="0" applyFont="1" applyBorder="1" applyAlignment="1">
      <alignment horizontal="left" vertical="center" wrapText="1"/>
    </xf>
    <xf numFmtId="0" fontId="89" fillId="0" borderId="29" xfId="0" applyFont="1" applyBorder="1" applyAlignment="1" applyProtection="1">
      <alignment vertical="center" wrapText="1"/>
      <protection locked="0"/>
    </xf>
    <xf numFmtId="0" fontId="89" fillId="0" borderId="46" xfId="0" applyFont="1" applyBorder="1" applyAlignment="1" applyProtection="1">
      <alignment vertical="center" wrapText="1"/>
      <protection locked="0"/>
    </xf>
    <xf numFmtId="0" fontId="89" fillId="0" borderId="47" xfId="0" applyFont="1" applyBorder="1" applyAlignment="1" applyProtection="1">
      <alignment vertical="center" wrapText="1"/>
      <protection locked="0"/>
    </xf>
    <xf numFmtId="0" fontId="63" fillId="0" borderId="29" xfId="0" applyFont="1" applyBorder="1" applyAlignment="1">
      <alignment horizontal="justify" vertical="center" wrapText="1"/>
    </xf>
    <xf numFmtId="164" fontId="88" fillId="0" borderId="117" xfId="0" applyNumberFormat="1" applyFont="1" applyBorder="1" applyAlignment="1">
      <alignment horizontal="left" vertical="center" wrapText="1"/>
    </xf>
    <xf numFmtId="0" fontId="88" fillId="0" borderId="118" xfId="0" applyFont="1" applyBorder="1" applyAlignment="1">
      <alignment horizontal="left" vertical="center" wrapText="1"/>
    </xf>
    <xf numFmtId="0" fontId="88" fillId="0" borderId="119" xfId="0" applyFont="1" applyBorder="1" applyAlignment="1">
      <alignment horizontal="left" vertical="center" wrapText="1"/>
    </xf>
    <xf numFmtId="0" fontId="88" fillId="0" borderId="68"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89" fillId="22" borderId="29" xfId="0" applyFont="1" applyFill="1" applyBorder="1" applyAlignment="1">
      <alignment vertical="center" wrapText="1"/>
    </xf>
    <xf numFmtId="0" fontId="89" fillId="22" borderId="46" xfId="0" applyFont="1" applyFill="1" applyBorder="1" applyAlignment="1">
      <alignment vertical="center" wrapText="1"/>
    </xf>
    <xf numFmtId="0" fontId="89" fillId="22" borderId="47" xfId="0" applyFont="1" applyFill="1" applyBorder="1" applyAlignment="1">
      <alignment vertical="center" wrapText="1"/>
    </xf>
    <xf numFmtId="0" fontId="89" fillId="0" borderId="29" xfId="0" applyFont="1" applyFill="1" applyBorder="1" applyAlignment="1" applyProtection="1">
      <alignment vertical="center" wrapText="1"/>
      <protection locked="0"/>
    </xf>
    <xf numFmtId="0" fontId="89" fillId="0" borderId="46" xfId="0" applyFont="1" applyFill="1" applyBorder="1" applyAlignment="1" applyProtection="1">
      <alignment vertical="center" wrapText="1"/>
      <protection locked="0"/>
    </xf>
    <xf numFmtId="0" fontId="89" fillId="0" borderId="47" xfId="0" applyFont="1" applyFill="1" applyBorder="1" applyAlignment="1" applyProtection="1">
      <alignment vertical="center" wrapText="1"/>
      <protection locked="0"/>
    </xf>
    <xf numFmtId="0" fontId="63" fillId="0" borderId="29" xfId="0" applyNumberFormat="1" applyFont="1" applyBorder="1" applyAlignment="1" applyProtection="1">
      <alignment horizontal="left" vertical="center" wrapText="1"/>
      <protection locked="0"/>
    </xf>
    <xf numFmtId="0" fontId="63" fillId="0" borderId="46" xfId="0" applyNumberFormat="1" applyFont="1" applyBorder="1" applyAlignment="1" applyProtection="1">
      <alignment horizontal="left" vertical="center" wrapText="1"/>
      <protection locked="0"/>
    </xf>
    <xf numFmtId="0" fontId="63" fillId="0" borderId="47" xfId="0" applyNumberFormat="1" applyFont="1" applyBorder="1" applyAlignment="1" applyProtection="1">
      <alignment horizontal="left" vertical="center" wrapText="1"/>
      <protection locked="0"/>
    </xf>
    <xf numFmtId="0" fontId="98" fillId="0" borderId="29" xfId="0" applyFont="1" applyFill="1" applyBorder="1" applyAlignment="1" applyProtection="1">
      <alignment vertical="center" wrapText="1"/>
      <protection locked="0"/>
    </xf>
    <xf numFmtId="0" fontId="98" fillId="0" borderId="46" xfId="0" applyFont="1" applyFill="1" applyBorder="1" applyAlignment="1" applyProtection="1">
      <alignment vertical="center" wrapText="1"/>
      <protection locked="0"/>
    </xf>
    <xf numFmtId="0" fontId="98" fillId="0" borderId="47" xfId="0" applyFont="1" applyFill="1" applyBorder="1" applyAlignment="1" applyProtection="1">
      <alignment vertical="center" wrapText="1"/>
      <protection locked="0"/>
    </xf>
    <xf numFmtId="0" fontId="88" fillId="0" borderId="29" xfId="0" applyFont="1" applyBorder="1" applyAlignment="1" applyProtection="1">
      <alignment vertical="center" wrapText="1"/>
      <protection locked="0"/>
    </xf>
    <xf numFmtId="0" fontId="88" fillId="0" borderId="46" xfId="0" applyFont="1" applyBorder="1" applyAlignment="1" applyProtection="1">
      <alignment vertical="center" wrapText="1"/>
      <protection locked="0"/>
    </xf>
    <xf numFmtId="0" fontId="88" fillId="0" borderId="47" xfId="0" applyFont="1" applyBorder="1" applyAlignment="1" applyProtection="1">
      <alignment vertical="center" wrapText="1"/>
      <protection locked="0"/>
    </xf>
    <xf numFmtId="9" fontId="33" fillId="0" borderId="147" xfId="56" applyFont="1" applyFill="1" applyBorder="1" applyAlignment="1" applyProtection="1">
      <alignment horizontal="center" vertical="center"/>
    </xf>
    <xf numFmtId="9" fontId="33" fillId="0" borderId="148" xfId="56" applyFont="1" applyFill="1" applyBorder="1" applyAlignment="1" applyProtection="1">
      <alignment horizontal="center" vertical="center"/>
    </xf>
    <xf numFmtId="9" fontId="33" fillId="0" borderId="149" xfId="56" applyFont="1" applyFill="1" applyBorder="1" applyAlignment="1" applyProtection="1">
      <alignment horizontal="center" vertical="center"/>
    </xf>
    <xf numFmtId="0" fontId="67" fillId="22" borderId="130" xfId="0" applyNumberFormat="1" applyFont="1" applyFill="1" applyBorder="1" applyAlignment="1" applyProtection="1">
      <alignment horizontal="center" vertical="center" wrapText="1"/>
      <protection locked="0"/>
    </xf>
    <xf numFmtId="49" fontId="67" fillId="22" borderId="129" xfId="0" applyNumberFormat="1" applyFont="1" applyFill="1" applyBorder="1" applyAlignment="1" applyProtection="1">
      <alignment horizontal="center" vertical="center" wrapText="1"/>
      <protection locked="0"/>
    </xf>
    <xf numFmtId="49" fontId="67" fillId="22" borderId="124" xfId="0" applyNumberFormat="1" applyFont="1" applyFill="1" applyBorder="1" applyAlignment="1" applyProtection="1">
      <alignment horizontal="center" vertical="center" wrapText="1"/>
      <protection locked="0"/>
    </xf>
    <xf numFmtId="49" fontId="2" fillId="23" borderId="129" xfId="0" applyNumberFormat="1" applyFont="1" applyFill="1" applyBorder="1" applyAlignment="1" applyProtection="1">
      <alignment horizontal="center" vertical="center" wrapText="1"/>
      <protection locked="0"/>
    </xf>
    <xf numFmtId="49" fontId="67" fillId="23" borderId="124" xfId="0" applyNumberFormat="1" applyFont="1" applyFill="1" applyBorder="1" applyAlignment="1" applyProtection="1">
      <alignment horizontal="center" vertical="center" wrapText="1"/>
      <protection locked="0"/>
    </xf>
    <xf numFmtId="0" fontId="67" fillId="23" borderId="130" xfId="0" applyNumberFormat="1" applyFont="1" applyFill="1" applyBorder="1" applyAlignment="1" applyProtection="1">
      <alignment horizontal="center" vertical="center" wrapText="1"/>
      <protection locked="0"/>
    </xf>
    <xf numFmtId="0" fontId="0" fillId="35" borderId="150" xfId="0" applyFill="1" applyBorder="1" applyAlignment="1" applyProtection="1">
      <alignment horizontal="center"/>
    </xf>
    <xf numFmtId="0" fontId="0" fillId="35" borderId="151" xfId="0" applyFill="1" applyBorder="1" applyAlignment="1" applyProtection="1">
      <alignment horizontal="center"/>
    </xf>
    <xf numFmtId="0" fontId="0" fillId="35" borderId="152" xfId="0" applyFill="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0" fontId="67" fillId="0" borderId="144" xfId="0" applyFont="1" applyFill="1" applyBorder="1" applyAlignment="1" applyProtection="1">
      <alignment horizontal="left" vertical="center" wrapText="1"/>
    </xf>
    <xf numFmtId="49" fontId="67" fillId="23" borderId="125"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9" xfId="0" applyNumberFormat="1" applyFont="1" applyFill="1" applyBorder="1" applyAlignment="1" applyProtection="1">
      <alignment horizontal="left" vertical="center" wrapText="1"/>
      <protection locked="0"/>
    </xf>
    <xf numFmtId="49" fontId="67" fillId="23" borderId="145" xfId="0" applyNumberFormat="1" applyFont="1" applyFill="1" applyBorder="1" applyAlignment="1" applyProtection="1">
      <alignment horizontal="left" vertical="center" wrapText="1"/>
      <protection locked="0"/>
    </xf>
    <xf numFmtId="49" fontId="67" fillId="23" borderId="98" xfId="0" applyNumberFormat="1" applyFont="1" applyFill="1" applyBorder="1" applyAlignment="1" applyProtection="1">
      <alignment horizontal="left" vertical="center" wrapText="1"/>
      <protection locked="0"/>
    </xf>
    <xf numFmtId="49" fontId="67" fillId="23" borderId="30" xfId="0" applyNumberFormat="1" applyFont="1" applyFill="1" applyBorder="1" applyAlignment="1" applyProtection="1">
      <alignment horizontal="left" vertical="center" wrapText="1"/>
      <protection locked="0"/>
    </xf>
    <xf numFmtId="0" fontId="67" fillId="28" borderId="130" xfId="0" applyFont="1" applyFill="1" applyBorder="1" applyAlignment="1" applyProtection="1">
      <alignment horizontal="center" vertical="center" wrapText="1"/>
    </xf>
    <xf numFmtId="0" fontId="67" fillId="28" borderId="47" xfId="0" applyFont="1" applyFill="1" applyBorder="1" applyAlignment="1" applyProtection="1">
      <alignment horizontal="center" vertical="center" wrapText="1"/>
    </xf>
    <xf numFmtId="0" fontId="67" fillId="0" borderId="130" xfId="0" applyFont="1" applyFill="1" applyBorder="1" applyAlignment="1" applyProtection="1">
      <alignment horizontal="center" vertical="center" wrapText="1"/>
    </xf>
    <xf numFmtId="0" fontId="67" fillId="0" borderId="146" xfId="0" applyFont="1" applyFill="1" applyBorder="1" applyAlignment="1" applyProtection="1">
      <alignment horizontal="center" vertical="center" wrapText="1"/>
    </xf>
    <xf numFmtId="0" fontId="67" fillId="0" borderId="47" xfId="0" applyFont="1" applyFill="1" applyBorder="1" applyAlignment="1" applyProtection="1">
      <alignment horizontal="center" vertical="center" wrapText="1"/>
    </xf>
    <xf numFmtId="0" fontId="67" fillId="0" borderId="153" xfId="0" applyFont="1" applyFill="1" applyBorder="1" applyAlignment="1" applyProtection="1">
      <alignment horizontal="center" vertical="center" wrapText="1"/>
    </xf>
    <xf numFmtId="0" fontId="67" fillId="22" borderId="47" xfId="0" applyNumberFormat="1" applyFont="1" applyFill="1" applyBorder="1" applyAlignment="1" applyProtection="1">
      <alignment horizontal="center" vertical="center" wrapText="1"/>
      <protection locked="0"/>
    </xf>
    <xf numFmtId="0" fontId="67" fillId="23" borderId="146" xfId="0" applyNumberFormat="1" applyFont="1" applyFill="1" applyBorder="1" applyAlignment="1" applyProtection="1">
      <alignment horizontal="center" vertical="center" wrapText="1"/>
      <protection locked="0"/>
    </xf>
    <xf numFmtId="49" fontId="67" fillId="23" borderId="47" xfId="0" applyNumberFormat="1" applyFont="1" applyFill="1" applyBorder="1" applyAlignment="1" applyProtection="1">
      <alignment horizontal="center" vertical="center" wrapText="1"/>
      <protection locked="0"/>
    </xf>
    <xf numFmtId="49" fontId="67" fillId="23" borderId="153" xfId="0" applyNumberFormat="1" applyFont="1" applyFill="1" applyBorder="1" applyAlignment="1" applyProtection="1">
      <alignment horizontal="center" vertical="center" wrapText="1"/>
      <protection locked="0"/>
    </xf>
    <xf numFmtId="49" fontId="67" fillId="33" borderId="125" xfId="0" applyNumberFormat="1" applyFont="1" applyFill="1" applyBorder="1" applyAlignment="1" applyProtection="1">
      <alignment horizontal="left" vertical="center" wrapText="1"/>
      <protection locked="0"/>
    </xf>
    <xf numFmtId="49" fontId="67" fillId="33" borderId="10" xfId="0" applyNumberFormat="1" applyFont="1" applyFill="1" applyBorder="1" applyAlignment="1" applyProtection="1">
      <alignment horizontal="left" vertical="center" wrapText="1"/>
      <protection locked="0"/>
    </xf>
    <xf numFmtId="49" fontId="67" fillId="33" borderId="29" xfId="0" applyNumberFormat="1" applyFont="1" applyFill="1" applyBorder="1" applyAlignment="1" applyProtection="1">
      <alignment horizontal="left" vertical="center" wrapText="1"/>
      <protection locked="0"/>
    </xf>
    <xf numFmtId="164" fontId="15" fillId="34" borderId="10" xfId="58" applyFont="1" applyFill="1" applyBorder="1" applyAlignment="1" applyProtection="1">
      <alignment horizontal="center"/>
      <protection locked="0"/>
    </xf>
    <xf numFmtId="49" fontId="0" fillId="0" borderId="10" xfId="0" applyNumberFormat="1" applyBorder="1" applyAlignment="1" applyProtection="1">
      <alignment horizontal="center"/>
      <protection locked="0"/>
    </xf>
    <xf numFmtId="0" fontId="0" fillId="0" borderId="137" xfId="0" applyBorder="1" applyAlignment="1" applyProtection="1">
      <alignment horizontal="center"/>
    </xf>
    <xf numFmtId="0" fontId="0" fillId="0" borderId="21" xfId="0" applyBorder="1" applyAlignment="1" applyProtection="1">
      <alignment horizontal="center"/>
    </xf>
    <xf numFmtId="0" fontId="84" fillId="0" borderId="138" xfId="0" applyFont="1" applyBorder="1" applyAlignment="1" applyProtection="1">
      <alignment horizontal="right"/>
    </xf>
    <xf numFmtId="0" fontId="124" fillId="0" borderId="138" xfId="0" applyFont="1" applyBorder="1" applyAlignment="1"/>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0" fontId="0" fillId="0" borderId="141" xfId="0" applyFill="1" applyBorder="1" applyAlignment="1" applyProtection="1">
      <alignment horizontal="center" vertical="center"/>
      <protection locked="0"/>
    </xf>
    <xf numFmtId="49" fontId="67" fillId="23" borderId="129" xfId="0" applyNumberFormat="1" applyFont="1" applyFill="1" applyBorder="1" applyAlignment="1" applyProtection="1">
      <alignment horizontal="center" vertical="center" wrapText="1"/>
      <protection locked="0"/>
    </xf>
    <xf numFmtId="49" fontId="67" fillId="22" borderId="47" xfId="0" applyNumberFormat="1" applyFont="1" applyFill="1" applyBorder="1" applyAlignment="1" applyProtection="1">
      <alignment horizontal="center" vertical="center" wrapText="1"/>
      <protection locked="0"/>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3"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0" fontId="67" fillId="0" borderId="46" xfId="0" applyFont="1" applyFill="1" applyBorder="1" applyAlignment="1" applyProtection="1">
      <alignment horizontal="left" vertical="center" wrapText="1"/>
    </xf>
    <xf numFmtId="0" fontId="67" fillId="0" borderId="136" xfId="0" applyFont="1" applyFill="1" applyBorder="1" applyAlignment="1" applyProtection="1">
      <alignment horizontal="left" vertical="center" wrapText="1"/>
    </xf>
    <xf numFmtId="0" fontId="67" fillId="28" borderId="135" xfId="0" applyFont="1" applyFill="1" applyBorder="1" applyAlignment="1" applyProtection="1">
      <alignment horizontal="left" vertical="center" wrapText="1"/>
    </xf>
    <xf numFmtId="0" fontId="67" fillId="28" borderId="46" xfId="0" applyFont="1" applyFill="1" applyBorder="1" applyAlignment="1" applyProtection="1">
      <alignment horizontal="left" vertical="center" wrapText="1"/>
    </xf>
    <xf numFmtId="0" fontId="67" fillId="28" borderId="136" xfId="0" applyFont="1" applyFill="1" applyBorder="1" applyAlignment="1" applyProtection="1">
      <alignment horizontal="left" vertical="center" wrapText="1"/>
    </xf>
    <xf numFmtId="164" fontId="61" fillId="32" borderId="0" xfId="39" applyFont="1" applyFill="1" applyAlignment="1" applyProtection="1">
      <alignment horizontal="center" vertical="center"/>
    </xf>
    <xf numFmtId="3" fontId="0" fillId="0" borderId="29" xfId="0" applyNumberFormat="1" applyBorder="1" applyAlignment="1" applyProtection="1">
      <alignment horizontal="center"/>
      <protection locked="0"/>
    </xf>
    <xf numFmtId="3" fontId="0" fillId="0" borderId="47" xfId="0" applyNumberFormat="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29" xfId="0" applyNumberFormat="1" applyBorder="1" applyAlignment="1" applyProtection="1">
      <alignment horizontal="center"/>
      <protection locked="0"/>
    </xf>
    <xf numFmtId="49" fontId="0" fillId="0" borderId="46" xfId="0" applyNumberFormat="1" applyBorder="1" applyAlignment="1" applyProtection="1">
      <alignment horizontal="center"/>
      <protection locked="0"/>
    </xf>
    <xf numFmtId="49" fontId="0" fillId="0" borderId="47" xfId="0" applyNumberFormat="1" applyBorder="1" applyAlignment="1" applyProtection="1">
      <alignment horizontal="center"/>
      <protection locked="0"/>
    </xf>
    <xf numFmtId="0" fontId="115" fillId="0" borderId="0" xfId="0" applyFont="1" applyBorder="1" applyAlignment="1" applyProtection="1">
      <alignment horizontal="right"/>
    </xf>
    <xf numFmtId="0" fontId="115" fillId="0" borderId="134" xfId="0" applyFont="1" applyBorder="1" applyAlignment="1" applyProtection="1">
      <alignment horizontal="right"/>
    </xf>
    <xf numFmtId="0" fontId="115" fillId="0" borderId="52" xfId="0" applyFont="1" applyBorder="1" applyAlignment="1" applyProtection="1">
      <alignment horizontal="right"/>
    </xf>
    <xf numFmtId="15" fontId="128" fillId="0" borderId="10" xfId="58" applyNumberFormat="1" applyFont="1" applyFill="1" applyBorder="1" applyAlignment="1" applyProtection="1">
      <alignment horizontal="center"/>
      <protection locked="0"/>
    </xf>
    <xf numFmtId="15" fontId="132" fillId="0" borderId="10" xfId="58" applyNumberFormat="1" applyFill="1" applyBorder="1" applyAlignment="1" applyProtection="1">
      <alignment horizontal="center"/>
      <protection locked="0"/>
    </xf>
    <xf numFmtId="0" fontId="115" fillId="0" borderId="0" xfId="0" applyFont="1" applyAlignment="1" applyProtection="1">
      <alignment horizontal="right"/>
    </xf>
    <xf numFmtId="49" fontId="0" fillId="0" borderId="29" xfId="0" applyNumberFormat="1" applyBorder="1" applyAlignment="1" applyProtection="1">
      <alignment horizontal="left"/>
      <protection locked="0"/>
    </xf>
    <xf numFmtId="49" fontId="0" fillId="0" borderId="46" xfId="0" applyNumberFormat="1" applyBorder="1" applyAlignment="1" applyProtection="1">
      <alignment horizontal="left"/>
      <protection locked="0"/>
    </xf>
    <xf numFmtId="49" fontId="0" fillId="0" borderId="47" xfId="0" applyNumberFormat="1" applyBorder="1" applyAlignment="1" applyProtection="1">
      <alignment horizontal="left"/>
      <protection locked="0"/>
    </xf>
    <xf numFmtId="49" fontId="14" fillId="0" borderId="2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0" fillId="19" borderId="120" xfId="0" applyFill="1" applyBorder="1" applyAlignment="1" applyProtection="1">
      <alignment horizontal="center" vertical="center" textRotation="90"/>
    </xf>
    <xf numFmtId="164" fontId="14" fillId="0" borderId="121" xfId="0" applyNumberFormat="1" applyFont="1" applyBorder="1" applyAlignment="1" applyProtection="1">
      <alignment horizontal="center"/>
    </xf>
    <xf numFmtId="0" fontId="14" fillId="0" borderId="122" xfId="0" applyFont="1" applyBorder="1" applyAlignment="1" applyProtection="1">
      <alignment horizontal="center"/>
    </xf>
    <xf numFmtId="0" fontId="14" fillId="0" borderId="123" xfId="0" applyFont="1" applyBorder="1" applyAlignment="1" applyProtection="1">
      <alignment horizontal="center"/>
    </xf>
    <xf numFmtId="49" fontId="67" fillId="22" borderId="124" xfId="0" applyNumberFormat="1" applyFont="1" applyFill="1" applyBorder="1" applyAlignment="1" applyProtection="1">
      <alignment horizontal="left" vertical="center" wrapText="1"/>
      <protection locked="0"/>
    </xf>
    <xf numFmtId="49" fontId="67" fillId="22" borderId="113" xfId="0" applyNumberFormat="1" applyFont="1" applyFill="1" applyBorder="1" applyAlignment="1" applyProtection="1">
      <alignment horizontal="left" vertical="center" wrapText="1"/>
      <protection locked="0"/>
    </xf>
    <xf numFmtId="49" fontId="67" fillId="22" borderId="68" xfId="0" applyNumberFormat="1" applyFont="1" applyFill="1" applyBorder="1" applyAlignment="1" applyProtection="1">
      <alignment horizontal="left" vertical="center" wrapText="1"/>
      <protection locked="0"/>
    </xf>
    <xf numFmtId="49" fontId="67" fillId="22" borderId="125"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9" xfId="0" applyNumberFormat="1" applyFont="1" applyFill="1" applyBorder="1" applyAlignment="1" applyProtection="1">
      <alignment horizontal="left" vertical="center" wrapText="1"/>
      <protection locked="0"/>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0" fontId="26" fillId="0" borderId="128" xfId="0" applyFont="1" applyBorder="1" applyAlignment="1" applyProtection="1">
      <alignment horizontal="center" wrapText="1"/>
    </xf>
    <xf numFmtId="49" fontId="14" fillId="0" borderId="25" xfId="0" applyNumberFormat="1" applyFont="1" applyBorder="1" applyAlignment="1" applyProtection="1">
      <alignment horizontal="center"/>
    </xf>
    <xf numFmtId="49" fontId="14" fillId="0" borderId="49" xfId="0" applyNumberFormat="1" applyFont="1" applyBorder="1" applyAlignment="1" applyProtection="1">
      <alignment horizont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0" fontId="77" fillId="0" borderId="133" xfId="0" applyFont="1" applyFill="1" applyBorder="1" applyAlignment="1" applyProtection="1">
      <alignment horizontal="center" vertical="center"/>
    </xf>
    <xf numFmtId="0" fontId="0" fillId="22" borderId="29" xfId="0" applyFill="1" applyBorder="1" applyAlignment="1" applyProtection="1">
      <alignment horizontal="center"/>
    </xf>
    <xf numFmtId="0" fontId="0" fillId="22" borderId="47" xfId="0" applyFill="1" applyBorder="1" applyAlignment="1" applyProtection="1">
      <alignment horizontal="center"/>
    </xf>
    <xf numFmtId="164" fontId="24" fillId="24" borderId="43" xfId="58" applyFont="1" applyFill="1" applyBorder="1" applyAlignment="1" applyProtection="1">
      <alignment horizontal="center"/>
    </xf>
    <xf numFmtId="164" fontId="1" fillId="0" borderId="43" xfId="58" applyFont="1" applyFill="1" applyBorder="1" applyAlignment="1" applyProtection="1">
      <alignment horizontal="right"/>
    </xf>
    <xf numFmtId="164" fontId="118" fillId="31"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0" fontId="0" fillId="0" borderId="43" xfId="0" applyBorder="1" applyAlignment="1"/>
    <xf numFmtId="164" fontId="106" fillId="32" borderId="0" xfId="39" applyFont="1" applyFill="1" applyAlignment="1" applyProtection="1">
      <alignment horizontal="center" vertical="center"/>
    </xf>
    <xf numFmtId="164" fontId="33" fillId="24" borderId="0" xfId="50" applyFont="1" applyFill="1" applyAlignment="1" applyProtection="1">
      <alignment horizontal="center" vertical="center" wrapText="1"/>
    </xf>
    <xf numFmtId="173" fontId="24" fillId="24" borderId="43" xfId="58" applyNumberFormat="1" applyFont="1" applyFill="1" applyBorder="1" applyAlignment="1" applyProtection="1">
      <alignment horizontal="center" vertical="center"/>
    </xf>
    <xf numFmtId="164" fontId="1" fillId="0" borderId="43" xfId="58" applyFont="1" applyBorder="1" applyAlignment="1" applyProtection="1">
      <alignment horizontal="right"/>
    </xf>
    <xf numFmtId="164" fontId="20" fillId="0" borderId="0" xfId="50" applyFont="1" applyFill="1" applyAlignment="1" applyProtection="1">
      <alignment horizontal="right" vertical="center"/>
    </xf>
    <xf numFmtId="164" fontId="24" fillId="24" borderId="0" xfId="50" applyFont="1" applyFill="1" applyAlignment="1" applyProtection="1">
      <alignment horizontal="center" vertical="center" wrapText="1"/>
    </xf>
    <xf numFmtId="0" fontId="119" fillId="0" borderId="155" xfId="0" applyFont="1" applyFill="1" applyBorder="1" applyAlignment="1" applyProtection="1">
      <alignment horizontal="left" wrapText="1"/>
    </xf>
    <xf numFmtId="0" fontId="119" fillId="0" borderId="99" xfId="0" applyFont="1" applyFill="1" applyBorder="1" applyAlignment="1" applyProtection="1">
      <alignment horizontal="left" wrapText="1"/>
    </xf>
    <xf numFmtId="0" fontId="119" fillId="0" borderId="156" xfId="0" applyFont="1" applyFill="1" applyBorder="1" applyAlignment="1" applyProtection="1">
      <alignment horizontal="left" wrapText="1"/>
    </xf>
    <xf numFmtId="0" fontId="119" fillId="0" borderId="157" xfId="0" applyFont="1" applyFill="1" applyBorder="1" applyAlignment="1" applyProtection="1">
      <alignment horizontal="left" wrapText="1"/>
    </xf>
    <xf numFmtId="164" fontId="14" fillId="0" borderId="0" xfId="0" applyNumberFormat="1" applyFont="1" applyAlignment="1" applyProtection="1">
      <alignment horizontal="center" wrapText="1"/>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pplyProtection="1">
      <alignment horizontal="left"/>
    </xf>
    <xf numFmtId="164" fontId="15" fillId="31" borderId="0" xfId="58" applyFont="1" applyFill="1" applyBorder="1" applyAlignment="1" applyProtection="1">
      <alignment horizontal="center"/>
    </xf>
    <xf numFmtId="0" fontId="112" fillId="0" borderId="0" xfId="0" applyFont="1" applyAlignment="1" applyProtection="1">
      <alignment horizontal="center"/>
    </xf>
    <xf numFmtId="164" fontId="111" fillId="0" borderId="150" xfId="0" applyNumberFormat="1" applyFont="1" applyBorder="1" applyAlignment="1" applyProtection="1">
      <alignment horizontal="center" vertical="center" wrapText="1"/>
    </xf>
    <xf numFmtId="164" fontId="111" fillId="0" borderId="151" xfId="0" applyNumberFormat="1" applyFont="1" applyBorder="1" applyAlignment="1" applyProtection="1">
      <alignment horizontal="center" vertical="center" wrapText="1"/>
    </xf>
    <xf numFmtId="164" fontId="111" fillId="0" borderId="152" xfId="0" applyNumberFormat="1" applyFont="1" applyBorder="1" applyAlignment="1" applyProtection="1">
      <alignment horizontal="center" vertical="center" wrapText="1"/>
    </xf>
    <xf numFmtId="0" fontId="0" fillId="0" borderId="154" xfId="0" applyBorder="1" applyAlignment="1" applyProtection="1">
      <alignment horizontal="center"/>
    </xf>
    <xf numFmtId="0" fontId="0" fillId="0" borderId="66" xfId="0" applyBorder="1" applyAlignment="1" applyProtection="1">
      <alignment horizontal="center"/>
    </xf>
    <xf numFmtId="0" fontId="30" fillId="22" borderId="29" xfId="0" applyFont="1" applyFill="1" applyBorder="1" applyAlignment="1" applyProtection="1">
      <alignment horizontal="left" wrapText="1"/>
      <protection locked="0"/>
    </xf>
    <xf numFmtId="0" fontId="0" fillId="0" borderId="46" xfId="0" applyBorder="1" applyAlignment="1" applyProtection="1">
      <alignment horizontal="left" wrapText="1"/>
      <protection locked="0"/>
    </xf>
    <xf numFmtId="0" fontId="0" fillId="0" borderId="47" xfId="0" applyBorder="1" applyAlignment="1" applyProtection="1">
      <alignment horizontal="left" wrapText="1"/>
      <protection locked="0"/>
    </xf>
    <xf numFmtId="0" fontId="34" fillId="22" borderId="29" xfId="0" applyFont="1" applyFill="1" applyBorder="1" applyAlignment="1" applyProtection="1">
      <alignment horizontal="left" wrapText="1"/>
      <protection locked="0"/>
    </xf>
    <xf numFmtId="0" fontId="34" fillId="22" borderId="46" xfId="0" applyFont="1" applyFill="1" applyBorder="1" applyAlignment="1" applyProtection="1">
      <alignment horizontal="left" wrapText="1"/>
      <protection locked="0"/>
    </xf>
    <xf numFmtId="0" fontId="34" fillId="22" borderId="47" xfId="0" applyFont="1" applyFill="1" applyBorder="1" applyAlignment="1" applyProtection="1">
      <alignment horizontal="left" wrapText="1"/>
      <protection locked="0"/>
    </xf>
    <xf numFmtId="0" fontId="134" fillId="22" borderId="29" xfId="0" applyFont="1" applyFill="1" applyBorder="1" applyAlignment="1" applyProtection="1">
      <alignment horizontal="left" wrapText="1"/>
      <protection locked="0"/>
    </xf>
    <xf numFmtId="0" fontId="133" fillId="0" borderId="46" xfId="0" applyFont="1" applyBorder="1" applyAlignment="1">
      <alignment horizontal="left" wrapText="1"/>
    </xf>
    <xf numFmtId="0" fontId="133" fillId="0" borderId="47" xfId="0" applyFont="1" applyBorder="1" applyAlignment="1">
      <alignment horizontal="left" wrapText="1"/>
    </xf>
    <xf numFmtId="0" fontId="134" fillId="22" borderId="29" xfId="0" applyFont="1" applyFill="1" applyBorder="1" applyAlignment="1" applyProtection="1">
      <alignment wrapText="1"/>
      <protection locked="0"/>
    </xf>
    <xf numFmtId="0" fontId="34" fillId="22" borderId="46" xfId="0" applyFont="1" applyFill="1" applyBorder="1" applyAlignment="1" applyProtection="1">
      <alignment wrapText="1"/>
      <protection locked="0"/>
    </xf>
    <xf numFmtId="0" fontId="34" fillId="22" borderId="47" xfId="0" applyFont="1" applyFill="1" applyBorder="1" applyAlignment="1" applyProtection="1">
      <alignment wrapText="1"/>
      <protection locked="0"/>
    </xf>
    <xf numFmtId="0" fontId="85" fillId="0" borderId="0" xfId="0" applyFont="1" applyAlignment="1">
      <alignment horizontal="left" wrapText="1"/>
    </xf>
    <xf numFmtId="0" fontId="0" fillId="0" borderId="46" xfId="0" applyBorder="1" applyAlignment="1">
      <alignment horizontal="left" wrapText="1"/>
    </xf>
    <xf numFmtId="0" fontId="0" fillId="0" borderId="47" xfId="0" applyBorder="1" applyAlignment="1">
      <alignment horizontal="left" wrapText="1"/>
    </xf>
    <xf numFmtId="164" fontId="61" fillId="32" borderId="0" xfId="48" applyFont="1" applyFill="1" applyAlignment="1">
      <alignment horizontal="center" vertical="center"/>
    </xf>
    <xf numFmtId="0" fontId="112" fillId="0" borderId="0" xfId="0" applyFont="1" applyAlignment="1">
      <alignment horizontal="center"/>
    </xf>
    <xf numFmtId="164" fontId="14" fillId="0" borderId="0" xfId="0" applyNumberFormat="1" applyFont="1" applyAlignment="1">
      <alignment horizontal="center"/>
    </xf>
    <xf numFmtId="164" fontId="28" fillId="0" borderId="0" xfId="0" applyNumberFormat="1" applyFont="1" applyAlignment="1">
      <alignment horizontal="right"/>
    </xf>
    <xf numFmtId="0" fontId="134" fillId="22" borderId="46" xfId="0" applyFont="1" applyFill="1" applyBorder="1" applyAlignment="1" applyProtection="1">
      <alignment horizontal="left" wrapText="1"/>
      <protection locked="0"/>
    </xf>
    <xf numFmtId="0" fontId="134" fillId="22" borderId="47" xfId="0" applyFont="1" applyFill="1" applyBorder="1" applyAlignment="1" applyProtection="1">
      <alignment horizontal="left" wrapText="1"/>
      <protection locked="0"/>
    </xf>
    <xf numFmtId="0" fontId="14" fillId="0" borderId="0" xfId="0" applyFont="1" applyBorder="1" applyAlignment="1">
      <alignment horizontal="center"/>
    </xf>
    <xf numFmtId="164" fontId="28" fillId="0" borderId="0" xfId="0" applyNumberFormat="1" applyFont="1" applyAlignment="1">
      <alignment horizontal="left"/>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0" fontId="0" fillId="0" borderId="141" xfId="0" applyFill="1" applyBorder="1" applyAlignment="1" applyProtection="1">
      <alignment horizontal="center" vertical="center"/>
    </xf>
    <xf numFmtId="15" fontId="28" fillId="0" borderId="0" xfId="0" applyNumberFormat="1" applyFont="1" applyAlignment="1">
      <alignment horizontal="right"/>
    </xf>
    <xf numFmtId="0" fontId="34" fillId="22" borderId="29" xfId="0" applyFont="1" applyFill="1" applyBorder="1" applyAlignment="1" applyProtection="1">
      <alignment wrapText="1"/>
      <protection locked="0"/>
    </xf>
    <xf numFmtId="0" fontId="0" fillId="0" borderId="46" xfId="0" applyBorder="1" applyAlignment="1">
      <alignment wrapText="1"/>
    </xf>
    <xf numFmtId="0" fontId="0" fillId="0" borderId="47" xfId="0" applyBorder="1" applyAlignment="1">
      <alignment wrapText="1"/>
    </xf>
    <xf numFmtId="164" fontId="61" fillId="32" borderId="0" xfId="48" applyFont="1" applyFill="1" applyAlignment="1" applyProtection="1">
      <alignment horizontal="center" vertical="center"/>
    </xf>
    <xf numFmtId="0" fontId="34" fillId="0" borderId="118" xfId="0" applyFont="1" applyBorder="1" applyAlignment="1" applyProtection="1">
      <alignment horizontal="left" vertical="center"/>
    </xf>
    <xf numFmtId="164" fontId="112" fillId="0" borderId="0" xfId="0" applyNumberFormat="1" applyFont="1" applyAlignment="1" applyProtection="1">
      <alignment horizontal="center"/>
    </xf>
    <xf numFmtId="164" fontId="33" fillId="0" borderId="0" xfId="0" applyNumberFormat="1" applyFont="1" applyAlignment="1" applyProtection="1">
      <alignment horizontal="center"/>
    </xf>
    <xf numFmtId="164" fontId="15" fillId="31" borderId="0" xfId="59" applyFont="1" applyFill="1" applyBorder="1" applyAlignment="1" applyProtection="1">
      <alignment horizontal="center"/>
    </xf>
    <xf numFmtId="0" fontId="34" fillId="0" borderId="29" xfId="0" applyFont="1" applyBorder="1" applyAlignment="1" applyProtection="1">
      <alignment horizontal="center" vertical="center"/>
    </xf>
    <xf numFmtId="0" fontId="34" fillId="0" borderId="46" xfId="0" applyFont="1" applyBorder="1" applyAlignment="1" applyProtection="1">
      <alignment horizontal="center" vertical="center"/>
    </xf>
    <xf numFmtId="0" fontId="34" fillId="0" borderId="47" xfId="0" applyFont="1" applyBorder="1" applyAlignment="1" applyProtection="1">
      <alignment horizontal="center" vertical="center"/>
    </xf>
    <xf numFmtId="9" fontId="135" fillId="22" borderId="29" xfId="56" applyFont="1" applyFill="1" applyBorder="1" applyAlignment="1" applyProtection="1">
      <alignment horizontal="left" vertical="center" wrapText="1"/>
      <protection locked="0"/>
    </xf>
    <xf numFmtId="9" fontId="135" fillId="22" borderId="46" xfId="56" applyFont="1" applyFill="1" applyBorder="1" applyAlignment="1" applyProtection="1">
      <alignment horizontal="left" vertical="center" wrapText="1"/>
      <protection locked="0"/>
    </xf>
    <xf numFmtId="9" fontId="135" fillId="22" borderId="47" xfId="56" applyFont="1" applyFill="1" applyBorder="1" applyAlignment="1" applyProtection="1">
      <alignment horizontal="left" vertical="center" wrapText="1"/>
      <protection locked="0"/>
    </xf>
    <xf numFmtId="9" fontId="135" fillId="22" borderId="10" xfId="56" applyFont="1" applyFill="1" applyBorder="1" applyAlignment="1" applyProtection="1">
      <alignment horizontal="left" vertical="center" wrapText="1"/>
      <protection locked="0"/>
    </xf>
    <xf numFmtId="9" fontId="28" fillId="0" borderId="29" xfId="56" applyFont="1" applyBorder="1" applyAlignment="1" applyProtection="1">
      <alignment horizontal="center" vertical="center" wrapText="1"/>
    </xf>
    <xf numFmtId="9" fontId="28" fillId="0" borderId="46" xfId="56" applyFont="1" applyBorder="1" applyAlignment="1" applyProtection="1">
      <alignment horizontal="center" vertical="center" wrapText="1"/>
    </xf>
    <xf numFmtId="9" fontId="28" fillId="0" borderId="47" xfId="56" applyFont="1" applyBorder="1" applyAlignment="1" applyProtection="1">
      <alignment horizontal="center" vertical="center" wrapText="1"/>
    </xf>
    <xf numFmtId="9" fontId="37" fillId="35" borderId="29" xfId="56" applyFont="1" applyFill="1" applyBorder="1" applyAlignment="1" applyProtection="1">
      <alignment horizontal="center" vertical="center" wrapText="1"/>
    </xf>
    <xf numFmtId="9" fontId="37" fillId="35" borderId="47" xfId="56" applyFont="1" applyFill="1" applyBorder="1" applyAlignment="1" applyProtection="1">
      <alignment horizontal="center" vertical="center" wrapText="1"/>
    </xf>
    <xf numFmtId="9" fontId="37" fillId="36" borderId="29" xfId="56" applyFont="1" applyFill="1" applyBorder="1" applyAlignment="1" applyProtection="1">
      <alignment horizontal="center" vertical="center" wrapText="1"/>
    </xf>
    <xf numFmtId="9" fontId="37" fillId="36" borderId="47" xfId="56" applyFont="1" applyFill="1" applyBorder="1" applyAlignment="1" applyProtection="1">
      <alignment horizontal="center" vertical="center" wrapText="1"/>
    </xf>
    <xf numFmtId="0" fontId="33" fillId="0" borderId="110"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0" borderId="10" xfId="0" applyFont="1" applyBorder="1" applyAlignment="1" applyProtection="1">
      <alignment vertical="center" wrapText="1"/>
    </xf>
    <xf numFmtId="0" fontId="34" fillId="20" borderId="0" xfId="0" applyFont="1" applyFill="1" applyAlignment="1" applyProtection="1">
      <alignment horizontal="center" vertical="center" wrapText="1"/>
    </xf>
    <xf numFmtId="0" fontId="34" fillId="0" borderId="29" xfId="0" applyFont="1" applyBorder="1" applyAlignment="1" applyProtection="1">
      <alignment vertical="center" wrapText="1"/>
    </xf>
    <xf numFmtId="0" fontId="34" fillId="0" borderId="46" xfId="0" applyFont="1" applyBorder="1" applyAlignment="1" applyProtection="1">
      <alignment vertical="center" wrapText="1"/>
    </xf>
    <xf numFmtId="0" fontId="34" fillId="0" borderId="47" xfId="0" applyFont="1" applyBorder="1" applyAlignment="1" applyProtection="1">
      <alignment vertical="center" wrapText="1"/>
    </xf>
    <xf numFmtId="0" fontId="34" fillId="20" borderId="158"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30" fillId="22" borderId="10" xfId="56" applyFont="1" applyFill="1" applyBorder="1" applyAlignment="1" applyProtection="1">
      <alignment horizontal="left" vertical="center" wrapText="1"/>
      <protection locked="0"/>
    </xf>
    <xf numFmtId="9" fontId="34" fillId="22" borderId="10" xfId="56" applyFont="1" applyFill="1" applyBorder="1" applyAlignment="1" applyProtection="1">
      <alignment horizontal="left" vertical="center" wrapText="1"/>
      <protection locked="0"/>
    </xf>
    <xf numFmtId="0" fontId="34" fillId="20" borderId="0" xfId="0" applyFont="1" applyFill="1" applyBorder="1" applyAlignment="1" applyProtection="1">
      <alignment horizontal="left"/>
    </xf>
    <xf numFmtId="0" fontId="34" fillId="20" borderId="0" xfId="0" applyFont="1" applyFill="1" applyAlignment="1" applyProtection="1">
      <alignment horizontal="left"/>
      <protection locked="0"/>
    </xf>
    <xf numFmtId="0" fontId="34" fillId="20" borderId="44" xfId="0" applyFont="1" applyFill="1" applyBorder="1" applyAlignment="1" applyProtection="1">
      <alignment horizontal="left"/>
      <protection locked="0"/>
    </xf>
    <xf numFmtId="0" fontId="34" fillId="20" borderId="118" xfId="0" applyFont="1" applyFill="1" applyBorder="1" applyAlignment="1" applyProtection="1">
      <alignment horizontal="left"/>
    </xf>
    <xf numFmtId="0" fontId="34" fillId="20" borderId="118" xfId="0" applyFont="1" applyFill="1" applyBorder="1" applyAlignment="1" applyProtection="1">
      <alignment horizontal="left" vertical="center" wrapText="1"/>
    </xf>
    <xf numFmtId="0" fontId="34" fillId="22" borderId="29" xfId="0" applyFont="1" applyFill="1" applyBorder="1" applyAlignment="1" applyProtection="1">
      <alignment horizontal="left" vertical="top" wrapText="1"/>
      <protection locked="0"/>
    </xf>
    <xf numFmtId="0" fontId="0" fillId="0" borderId="46" xfId="0" applyBorder="1" applyAlignment="1">
      <alignment horizontal="left" vertical="top" wrapText="1"/>
    </xf>
    <xf numFmtId="0" fontId="0" fillId="0" borderId="47" xfId="0" applyBorder="1" applyAlignment="1">
      <alignment horizontal="left" vertical="top" wrapText="1"/>
    </xf>
    <xf numFmtId="0" fontId="34" fillId="22" borderId="46" xfId="0" applyFont="1" applyFill="1" applyBorder="1" applyAlignment="1" applyProtection="1">
      <alignment horizontal="left" vertical="top" wrapText="1"/>
      <protection locked="0"/>
    </xf>
    <xf numFmtId="0" fontId="34" fillId="22" borderId="47" xfId="0" applyFont="1" applyFill="1" applyBorder="1" applyAlignment="1" applyProtection="1">
      <alignment horizontal="left" vertical="top" wrapText="1"/>
      <protection locked="0"/>
    </xf>
    <xf numFmtId="0" fontId="2" fillId="22" borderId="168" xfId="0" applyFont="1" applyFill="1" applyBorder="1" applyAlignment="1" applyProtection="1">
      <alignment horizontal="center" vertical="top" wrapText="1"/>
      <protection locked="0"/>
    </xf>
    <xf numFmtId="0" fontId="2" fillId="22" borderId="169" xfId="0" applyFont="1" applyFill="1" applyBorder="1" applyAlignment="1" applyProtection="1">
      <alignment horizontal="center" vertical="top" wrapText="1"/>
      <protection locked="0"/>
    </xf>
    <xf numFmtId="0" fontId="2" fillId="22" borderId="170" xfId="0" applyFont="1" applyFill="1" applyBorder="1" applyAlignment="1" applyProtection="1">
      <alignment horizontal="center" vertical="top" wrapText="1"/>
      <protection locked="0"/>
    </xf>
    <xf numFmtId="0" fontId="2" fillId="22" borderId="209" xfId="0" applyFont="1" applyFill="1" applyBorder="1" applyAlignment="1" applyProtection="1">
      <alignment horizontal="center" vertical="top" wrapText="1"/>
      <protection locked="0"/>
    </xf>
    <xf numFmtId="0" fontId="2" fillId="22" borderId="210" xfId="0" applyFont="1" applyFill="1" applyBorder="1" applyAlignment="1" applyProtection="1">
      <alignment horizontal="center" vertical="top" wrapText="1"/>
      <protection locked="0"/>
    </xf>
    <xf numFmtId="0" fontId="2" fillId="22" borderId="211"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0" fontId="60" fillId="25" borderId="197" xfId="0" applyFont="1" applyFill="1" applyBorder="1" applyAlignment="1" applyProtection="1">
      <alignment horizontal="center" vertical="center"/>
    </xf>
    <xf numFmtId="0" fontId="60" fillId="25" borderId="198" xfId="0" applyFont="1" applyFill="1" applyBorder="1" applyAlignment="1" applyProtection="1">
      <alignment horizontal="center" vertical="center"/>
    </xf>
    <xf numFmtId="0" fontId="60" fillId="25" borderId="199" xfId="0" applyFont="1" applyFill="1" applyBorder="1" applyAlignment="1" applyProtection="1">
      <alignment horizontal="center" vertical="center"/>
    </xf>
    <xf numFmtId="0" fontId="2" fillId="24" borderId="200" xfId="0" applyFont="1" applyFill="1" applyBorder="1" applyAlignment="1" applyProtection="1">
      <alignment horizontal="center" vertical="top" wrapText="1"/>
      <protection locked="0"/>
    </xf>
    <xf numFmtId="0" fontId="2" fillId="24" borderId="201" xfId="0" applyFont="1" applyFill="1" applyBorder="1" applyAlignment="1" applyProtection="1">
      <alignment horizontal="center" vertical="top" wrapText="1"/>
      <protection locked="0"/>
    </xf>
    <xf numFmtId="0" fontId="2" fillId="24" borderId="202" xfId="0" applyFont="1" applyFill="1" applyBorder="1" applyAlignment="1" applyProtection="1">
      <alignment horizontal="center" vertical="top" wrapText="1"/>
      <protection locked="0"/>
    </xf>
    <xf numFmtId="0" fontId="2" fillId="24" borderId="203" xfId="0" applyFont="1" applyFill="1" applyBorder="1" applyAlignment="1" applyProtection="1">
      <alignment horizontal="center" vertical="top" wrapText="1"/>
      <protection locked="0"/>
    </xf>
    <xf numFmtId="0" fontId="2" fillId="24" borderId="204" xfId="0" applyFont="1" applyFill="1" applyBorder="1" applyAlignment="1" applyProtection="1">
      <alignment horizontal="center" vertical="top" wrapText="1"/>
      <protection locked="0"/>
    </xf>
    <xf numFmtId="0" fontId="2" fillId="24" borderId="205" xfId="0" applyFont="1" applyFill="1" applyBorder="1" applyAlignment="1" applyProtection="1">
      <alignment horizontal="center" vertical="top" wrapText="1"/>
      <protection locked="0"/>
    </xf>
    <xf numFmtId="0" fontId="2" fillId="24" borderId="183" xfId="0" applyFont="1" applyFill="1" applyBorder="1" applyAlignment="1" applyProtection="1">
      <alignment horizontal="center" vertical="top" wrapText="1"/>
      <protection locked="0"/>
    </xf>
    <xf numFmtId="0" fontId="2" fillId="24" borderId="184" xfId="0" applyFont="1" applyFill="1" applyBorder="1" applyAlignment="1" applyProtection="1">
      <alignment horizontal="center" vertical="top" wrapText="1"/>
      <protection locked="0"/>
    </xf>
    <xf numFmtId="0" fontId="2" fillId="24" borderId="185" xfId="0" applyFont="1" applyFill="1" applyBorder="1" applyAlignment="1" applyProtection="1">
      <alignment horizontal="center" vertical="top" wrapText="1"/>
      <protection locked="0"/>
    </xf>
    <xf numFmtId="0" fontId="78" fillId="0" borderId="206" xfId="0" applyFont="1" applyFill="1" applyBorder="1" applyAlignment="1" applyProtection="1">
      <alignment horizontal="center"/>
    </xf>
    <xf numFmtId="0" fontId="78" fillId="0" borderId="177" xfId="0" applyFont="1" applyFill="1" applyBorder="1" applyAlignment="1" applyProtection="1">
      <alignment horizontal="center"/>
    </xf>
    <xf numFmtId="49" fontId="2" fillId="25" borderId="192" xfId="0" applyNumberFormat="1" applyFont="1" applyFill="1" applyBorder="1" applyAlignment="1" applyProtection="1">
      <alignment horizontal="center" vertical="center"/>
      <protection locked="0"/>
    </xf>
    <xf numFmtId="49" fontId="2" fillId="25" borderId="160" xfId="0" applyNumberFormat="1" applyFont="1" applyFill="1" applyBorder="1" applyAlignment="1" applyProtection="1">
      <alignment horizontal="center" vertical="center"/>
      <protection locked="0"/>
    </xf>
    <xf numFmtId="49" fontId="2" fillId="25" borderId="193" xfId="0" applyNumberFormat="1" applyFont="1" applyFill="1" applyBorder="1" applyAlignment="1" applyProtection="1">
      <alignment horizontal="center" vertical="center"/>
      <protection locked="0"/>
    </xf>
    <xf numFmtId="49" fontId="2" fillId="25" borderId="207"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208"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112" fillId="0" borderId="0" xfId="0" applyFont="1" applyBorder="1" applyAlignment="1" applyProtection="1">
      <alignment horizontal="center"/>
    </xf>
    <xf numFmtId="0" fontId="80" fillId="0" borderId="189"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0" fontId="80" fillId="0" borderId="173" xfId="0" applyNumberFormat="1" applyFont="1" applyFill="1" applyBorder="1" applyAlignment="1" applyProtection="1">
      <alignment horizontal="left" vertical="top" wrapText="1"/>
    </xf>
    <xf numFmtId="0" fontId="80" fillId="0" borderId="191" xfId="0" applyNumberFormat="1" applyFont="1" applyFill="1" applyBorder="1" applyAlignment="1" applyProtection="1">
      <alignment horizontal="left" vertical="top" wrapText="1"/>
    </xf>
    <xf numFmtId="49" fontId="2" fillId="25" borderId="194" xfId="0" applyNumberFormat="1" applyFont="1" applyFill="1" applyBorder="1" applyAlignment="1" applyProtection="1">
      <alignment horizontal="center" vertical="center"/>
      <protection locked="0"/>
    </xf>
    <xf numFmtId="49" fontId="2" fillId="25" borderId="195" xfId="0" applyNumberFormat="1" applyFont="1" applyFill="1" applyBorder="1" applyAlignment="1" applyProtection="1">
      <alignment horizontal="center" vertical="center"/>
      <protection locked="0"/>
    </xf>
    <xf numFmtId="49" fontId="2" fillId="25" borderId="196" xfId="0" applyNumberFormat="1" applyFont="1" applyFill="1" applyBorder="1" applyAlignment="1" applyProtection="1">
      <alignment horizontal="center" vertical="center"/>
      <protection locked="0"/>
    </xf>
    <xf numFmtId="0" fontId="80" fillId="0" borderId="174" xfId="0" applyNumberFormat="1" applyFont="1" applyFill="1" applyBorder="1" applyAlignment="1" applyProtection="1">
      <alignment horizontal="left" vertical="top" wrapText="1"/>
    </xf>
    <xf numFmtId="0" fontId="126" fillId="24" borderId="178" xfId="0" applyFont="1" applyFill="1" applyBorder="1" applyAlignment="1" applyProtection="1">
      <alignment horizontal="center" vertical="center"/>
    </xf>
    <xf numFmtId="0" fontId="126" fillId="24" borderId="179" xfId="0" applyFont="1" applyFill="1" applyBorder="1" applyAlignment="1" applyProtection="1">
      <alignment horizontal="center" vertical="center"/>
    </xf>
    <xf numFmtId="0" fontId="0" fillId="0" borderId="179" xfId="0" applyBorder="1" applyAlignment="1">
      <alignment horizontal="center" vertical="center"/>
    </xf>
    <xf numFmtId="0" fontId="126" fillId="24" borderId="180" xfId="0" applyFont="1" applyFill="1" applyBorder="1" applyAlignment="1" applyProtection="1">
      <alignment horizontal="center" vertical="center"/>
    </xf>
    <xf numFmtId="0" fontId="126" fillId="24" borderId="181" xfId="0" applyFont="1" applyFill="1" applyBorder="1" applyAlignment="1" applyProtection="1">
      <alignment horizontal="center" vertical="center"/>
    </xf>
    <xf numFmtId="0" fontId="126" fillId="24" borderId="182" xfId="0" applyFont="1" applyFill="1" applyBorder="1" applyAlignment="1" applyProtection="1">
      <alignment horizontal="center" vertical="center"/>
    </xf>
    <xf numFmtId="0" fontId="80" fillId="0" borderId="171"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9" fontId="2" fillId="0" borderId="159" xfId="56" applyNumberFormat="1" applyFont="1" applyFill="1" applyBorder="1" applyAlignment="1" applyProtection="1">
      <alignment horizontal="left" vertical="center" wrapText="1"/>
    </xf>
    <xf numFmtId="0" fontId="2" fillId="0" borderId="160" xfId="56" applyNumberFormat="1" applyFont="1" applyFill="1" applyBorder="1" applyAlignment="1" applyProtection="1">
      <alignment horizontal="left" vertical="center" wrapText="1"/>
    </xf>
    <xf numFmtId="0" fontId="2" fillId="0" borderId="161" xfId="56" applyNumberFormat="1" applyFont="1" applyFill="1" applyBorder="1" applyAlignment="1" applyProtection="1">
      <alignment horizontal="left" vertical="center" wrapText="1"/>
    </xf>
    <xf numFmtId="0" fontId="2" fillId="0" borderId="159" xfId="56" applyNumberFormat="1" applyFont="1" applyFill="1" applyBorder="1" applyAlignment="1" applyProtection="1">
      <alignment horizontal="left" vertical="center" wrapText="1"/>
    </xf>
    <xf numFmtId="0" fontId="80" fillId="0" borderId="175" xfId="0" applyNumberFormat="1" applyFont="1" applyFill="1" applyBorder="1" applyAlignment="1" applyProtection="1">
      <alignment horizontal="left" vertical="top" wrapText="1"/>
    </xf>
    <xf numFmtId="0" fontId="80" fillId="0" borderId="176" xfId="0" applyNumberFormat="1" applyFont="1" applyFill="1" applyBorder="1" applyAlignment="1" applyProtection="1">
      <alignment horizontal="left" vertical="top" wrapText="1"/>
    </xf>
    <xf numFmtId="0" fontId="60" fillId="22" borderId="162" xfId="0" applyFont="1" applyFill="1" applyBorder="1" applyAlignment="1" applyProtection="1">
      <alignment horizontal="center" vertical="center"/>
    </xf>
    <xf numFmtId="0" fontId="60" fillId="22" borderId="163" xfId="0" applyFont="1" applyFill="1" applyBorder="1" applyAlignment="1" applyProtection="1">
      <alignment horizontal="center" vertical="center"/>
    </xf>
    <xf numFmtId="0" fontId="60" fillId="22" borderId="164" xfId="0" applyFont="1" applyFill="1" applyBorder="1" applyAlignment="1" applyProtection="1">
      <alignment horizontal="center" vertical="center"/>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80" fillId="0" borderId="167" xfId="0" applyNumberFormat="1" applyFont="1" applyFill="1" applyBorder="1" applyAlignment="1" applyProtection="1">
      <alignment horizontal="left" vertical="center" wrapText="1"/>
    </xf>
    <xf numFmtId="0" fontId="2" fillId="22" borderId="186" xfId="0" applyFont="1" applyFill="1" applyBorder="1" applyAlignment="1" applyProtection="1">
      <alignment horizontal="center" vertical="top" wrapText="1"/>
      <protection locked="0"/>
    </xf>
    <xf numFmtId="0" fontId="2" fillId="22" borderId="187" xfId="0" applyFont="1" applyFill="1" applyBorder="1" applyAlignment="1" applyProtection="1">
      <alignment horizontal="center" vertical="top" wrapText="1"/>
      <protection locked="0"/>
    </xf>
    <xf numFmtId="0" fontId="2" fillId="22" borderId="188" xfId="0" applyFont="1" applyFill="1" applyBorder="1" applyAlignment="1" applyProtection="1">
      <alignment horizontal="center" vertical="top" wrapText="1"/>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195" xfId="0" applyFont="1" applyFill="1" applyBorder="1" applyAlignment="1" applyProtection="1">
      <alignment horizontal="left" vertical="top" wrapText="1"/>
      <protection locked="0"/>
    </xf>
    <xf numFmtId="0" fontId="21" fillId="0" borderId="239" xfId="0" applyFont="1" applyFill="1" applyBorder="1" applyAlignment="1" applyProtection="1">
      <alignment horizontal="left" vertical="top" wrapText="1"/>
      <protection locked="0"/>
    </xf>
    <xf numFmtId="0" fontId="77" fillId="21" borderId="227"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0" fontId="21" fillId="0" borderId="160" xfId="0" applyFont="1" applyFill="1" applyBorder="1" applyAlignment="1" applyProtection="1">
      <alignment horizontal="left" vertical="center" wrapText="1"/>
      <protection locked="0"/>
    </xf>
    <xf numFmtId="0" fontId="21" fillId="0" borderId="219" xfId="0" applyFont="1" applyFill="1" applyBorder="1" applyAlignment="1" applyProtection="1">
      <alignment horizontal="left" vertical="center" wrapText="1"/>
      <protection locked="0"/>
    </xf>
    <xf numFmtId="0" fontId="99" fillId="21" borderId="222" xfId="0" applyFont="1" applyFill="1" applyBorder="1" applyAlignment="1">
      <alignment horizontal="center" vertical="center" textRotation="90"/>
    </xf>
    <xf numFmtId="0" fontId="0" fillId="21" borderId="96" xfId="0" applyFill="1" applyBorder="1" applyAlignment="1">
      <alignment horizontal="center" vertical="center" textRotation="90"/>
    </xf>
    <xf numFmtId="0" fontId="0" fillId="21" borderId="113" xfId="0" applyFill="1" applyBorder="1" applyAlignment="1">
      <alignment horizontal="center" vertical="center" textRotation="90"/>
    </xf>
    <xf numFmtId="0" fontId="21" fillId="0" borderId="220" xfId="0" applyFont="1" applyFill="1" applyBorder="1" applyAlignment="1" applyProtection="1">
      <alignment horizontal="left"/>
      <protection locked="0"/>
    </xf>
    <xf numFmtId="0" fontId="33" fillId="0" borderId="0" xfId="0" applyFont="1" applyAlignment="1">
      <alignment horizontal="center"/>
    </xf>
    <xf numFmtId="0" fontId="77" fillId="21" borderId="224" xfId="53" applyNumberFormat="1" applyFont="1" applyFill="1" applyBorder="1" applyAlignment="1">
      <alignment horizontal="center" vertical="center" wrapText="1"/>
    </xf>
    <xf numFmtId="0" fontId="77" fillId="21" borderId="225" xfId="53" applyNumberFormat="1" applyFont="1" applyFill="1" applyBorder="1" applyAlignment="1">
      <alignment horizontal="center" vertical="center" wrapText="1"/>
    </xf>
    <xf numFmtId="0" fontId="77" fillId="21" borderId="226" xfId="53" applyNumberFormat="1" applyFont="1" applyFill="1" applyBorder="1" applyAlignment="1">
      <alignment horizontal="center" vertical="center" wrapText="1"/>
    </xf>
    <xf numFmtId="0" fontId="21" fillId="0" borderId="221" xfId="0"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21" fillId="0" borderId="220" xfId="0" applyFont="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18" xfId="0" applyFont="1" applyFill="1" applyBorder="1" applyAlignment="1" applyProtection="1">
      <alignment horizontal="left"/>
      <protection locked="0"/>
    </xf>
    <xf numFmtId="0" fontId="21" fillId="0" borderId="160"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234" xfId="0" applyFont="1" applyFill="1" applyBorder="1" applyAlignment="1" applyProtection="1">
      <alignment horizontal="left" vertical="center" wrapText="1"/>
      <protection locked="0"/>
    </xf>
    <xf numFmtId="0" fontId="21" fillId="0" borderId="235" xfId="0" applyFont="1" applyFill="1" applyBorder="1" applyAlignment="1" applyProtection="1">
      <alignment horizontal="left" vertical="center" wrapText="1"/>
      <protection locked="0"/>
    </xf>
    <xf numFmtId="0" fontId="21" fillId="0" borderId="223" xfId="0" applyFont="1" applyBorder="1" applyAlignment="1" applyProtection="1">
      <alignment horizontal="left"/>
      <protection locked="0"/>
    </xf>
    <xf numFmtId="0" fontId="21" fillId="0" borderId="39" xfId="0" applyFont="1" applyBorder="1" applyAlignment="1" applyProtection="1">
      <alignment horizontal="left"/>
      <protection locked="0"/>
    </xf>
    <xf numFmtId="0" fontId="21" fillId="0" borderId="221" xfId="0" applyFont="1" applyBorder="1" applyAlignment="1" applyProtection="1">
      <alignment horizontal="left"/>
      <protection locked="0"/>
    </xf>
    <xf numFmtId="0" fontId="21" fillId="0" borderId="215" xfId="0" applyFont="1" applyBorder="1" applyAlignment="1" applyProtection="1">
      <alignment horizontal="left"/>
      <protection locked="0"/>
    </xf>
    <xf numFmtId="0" fontId="21" fillId="0" borderId="39" xfId="0" applyFont="1" applyFill="1" applyBorder="1" applyAlignment="1" applyProtection="1">
      <alignment horizontal="left"/>
      <protection locked="0"/>
    </xf>
    <xf numFmtId="0" fontId="21" fillId="0" borderId="223" xfId="0" applyFont="1" applyFill="1" applyBorder="1" applyAlignment="1" applyProtection="1">
      <alignment horizontal="left"/>
      <protection locked="0"/>
    </xf>
    <xf numFmtId="164" fontId="15" fillId="31" borderId="0" xfId="60" applyFont="1" applyFill="1" applyBorder="1" applyAlignment="1" applyProtection="1">
      <alignment horizontal="center"/>
      <protection locked="0"/>
    </xf>
    <xf numFmtId="0" fontId="21" fillId="0" borderId="217" xfId="0" applyFont="1" applyFill="1" applyBorder="1" applyAlignment="1" applyProtection="1">
      <alignment horizontal="left"/>
      <protection locked="0"/>
    </xf>
    <xf numFmtId="0" fontId="0" fillId="22" borderId="117" xfId="0" applyFill="1" applyBorder="1" applyAlignment="1" applyProtection="1">
      <alignment horizontal="center"/>
      <protection locked="0"/>
    </xf>
    <xf numFmtId="0" fontId="0" fillId="22" borderId="118" xfId="0" applyFill="1" applyBorder="1" applyAlignment="1" applyProtection="1">
      <alignment horizontal="center"/>
      <protection locked="0"/>
    </xf>
    <xf numFmtId="0" fontId="0" fillId="22" borderId="119" xfId="0" applyFill="1" applyBorder="1" applyAlignment="1" applyProtection="1">
      <alignment horizontal="center"/>
      <protection locked="0"/>
    </xf>
    <xf numFmtId="0" fontId="0" fillId="22" borderId="68" xfId="0" applyFill="1" applyBorder="1" applyAlignment="1" applyProtection="1">
      <alignment horizontal="center"/>
      <protection locked="0"/>
    </xf>
    <xf numFmtId="0" fontId="0" fillId="22" borderId="110" xfId="0" applyFill="1" applyBorder="1" applyAlignment="1" applyProtection="1">
      <alignment horizontal="center"/>
      <protection locked="0"/>
    </xf>
    <xf numFmtId="0" fontId="0" fillId="22" borderId="112" xfId="0" applyFill="1" applyBorder="1" applyAlignment="1" applyProtection="1">
      <alignment horizontal="center"/>
      <protection locked="0"/>
    </xf>
    <xf numFmtId="0" fontId="77" fillId="21" borderId="212" xfId="53" applyNumberFormat="1" applyFont="1" applyFill="1" applyBorder="1" applyAlignment="1">
      <alignment horizontal="center" vertical="center" wrapText="1"/>
    </xf>
    <xf numFmtId="0" fontId="21" fillId="0" borderId="216" xfId="0" applyFont="1" applyFill="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17" xfId="0" applyFont="1" applyBorder="1" applyAlignment="1" applyProtection="1">
      <alignment horizontal="left"/>
      <protection locked="0"/>
    </xf>
    <xf numFmtId="164" fontId="17" fillId="32" borderId="0" xfId="39" applyFont="1" applyFill="1" applyAlignment="1">
      <alignment horizontal="center" vertic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42">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5" Type="http://schemas.openxmlformats.org/officeDocument/2006/relationships/customXml" Target="../customXml/item1.xml"/><Relationship Id="rId16" Type="http://schemas.openxmlformats.org/officeDocument/2006/relationships/customXml" Target="../customXml/item2.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8"/>
          <c:y val="0.0524017467248908"/>
          <c:w val="0.809960681520314"/>
          <c:h val="0.641921397379913"/>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2.3208938575E6</c:v>
                </c:pt>
                <c:pt idx="1">
                  <c:v>1.24469685010606E7</c:v>
                </c:pt>
                <c:pt idx="2">
                  <c:v>2.22508210196211E7</c:v>
                </c:pt>
                <c:pt idx="3">
                  <c:v>3.16299885381817E7</c:v>
                </c:pt>
                <c:pt idx="4">
                  <c:v>4.98926890756923E7</c:v>
                </c:pt>
                <c:pt idx="5">
                  <c:v>5.9598354439203E7</c:v>
                </c:pt>
                <c:pt idx="6">
                  <c:v>6.84961474540371E7</c:v>
                </c:pt>
                <c:pt idx="7">
                  <c:v>0.0</c:v>
                </c:pt>
                <c:pt idx="8">
                  <c:v>0.0</c:v>
                </c:pt>
                <c:pt idx="9">
                  <c:v>0.0</c:v>
                </c:pt>
                <c:pt idx="10">
                  <c:v>0.0</c:v>
                </c:pt>
                <c:pt idx="11">
                  <c:v>0.0</c:v>
                </c:pt>
              </c:numCache>
            </c:numRef>
          </c:val>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0.0</c:v>
                </c:pt>
                <c:pt idx="1">
                  <c:v>1.371597E7</c:v>
                </c:pt>
                <c:pt idx="2">
                  <c:v>1.371597E7</c:v>
                </c:pt>
                <c:pt idx="3">
                  <c:v>3.798550822E7</c:v>
                </c:pt>
                <c:pt idx="4">
                  <c:v>4.41789571E7</c:v>
                </c:pt>
                <c:pt idx="5">
                  <c:v>5.257196429E7</c:v>
                </c:pt>
                <c:pt idx="6">
                  <c:v>5.705911908E7</c:v>
                </c:pt>
                <c:pt idx="7">
                  <c:v>0.0</c:v>
                </c:pt>
                <c:pt idx="8">
                  <c:v>0.0</c:v>
                </c:pt>
                <c:pt idx="9">
                  <c:v>0.0</c:v>
                </c:pt>
                <c:pt idx="10">
                  <c:v>0.0</c:v>
                </c:pt>
                <c:pt idx="11">
                  <c:v>0.0</c:v>
                </c:pt>
              </c:numCache>
            </c:numRef>
          </c:val>
        </c:ser>
        <c:dLbls>
          <c:showLegendKey val="0"/>
          <c:showVal val="0"/>
          <c:showCatName val="0"/>
          <c:showSerName val="0"/>
          <c:showPercent val="0"/>
          <c:showBubbleSize val="0"/>
        </c:dLbls>
        <c:gapWidth val="70"/>
        <c:axId val="1590515408"/>
        <c:axId val="-2083804400"/>
      </c:barChart>
      <c:catAx>
        <c:axId val="1590515408"/>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49046263"/>
              <c:y val="0.78695630151494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2083804400"/>
        <c:crosses val="autoZero"/>
        <c:auto val="1"/>
        <c:lblAlgn val="ctr"/>
        <c:lblOffset val="100"/>
        <c:tickLblSkip val="1"/>
        <c:tickMarkSkip val="1"/>
        <c:noMultiLvlLbl val="0"/>
      </c:catAx>
      <c:valAx>
        <c:axId val="-208380440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590515408"/>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64139243232894"/>
          <c:y val="0.859679974213749"/>
          <c:w val="0.735586721872532"/>
          <c:h val="0.111115255329926"/>
        </c:manualLayout>
      </c:layout>
      <c:overlay val="0"/>
      <c:spPr>
        <a:solidFill>
          <a:srgbClr val="FFFFFF"/>
        </a:solidFill>
        <a:ln w="3175">
          <a:solidFill>
            <a:srgbClr val="000000"/>
          </a:solidFill>
          <a:prstDash val="solid"/>
        </a:ln>
      </c:spPr>
      <c:txPr>
        <a:bodyPr/>
        <a:lstStyle/>
        <a:p>
          <a:pPr>
            <a:defRPr sz="44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0" l="0.75" r="0.75" t="1.0"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0.0895526227117345"/>
          <c:w val="0.833140043193296"/>
          <c:h val="0.653207365662063"/>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#,##0</c:formatCode>
                <c:ptCount val="12"/>
                <c:pt idx="0">
                  <c:v>2.692264E6</c:v>
                </c:pt>
                <c:pt idx="1">
                  <c:v>2.692264E6</c:v>
                </c:pt>
                <c:pt idx="2">
                  <c:v>5.913034E6</c:v>
                </c:pt>
                <c:pt idx="3">
                  <c:v>5.913034E6</c:v>
                </c:pt>
                <c:pt idx="4">
                  <c:v>1.814467E6</c:v>
                </c:pt>
                <c:pt idx="5">
                  <c:v>1.814467E6</c:v>
                </c:pt>
                <c:pt idx="6">
                  <c:v>2.331644E6</c:v>
                </c:pt>
              </c:numCache>
            </c:numRef>
          </c:val>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#,##0</c:formatCode>
                <c:ptCount val="12"/>
                <c:pt idx="0">
                  <c:v>0.0</c:v>
                </c:pt>
                <c:pt idx="1">
                  <c:v>2.942234E6</c:v>
                </c:pt>
                <c:pt idx="2">
                  <c:v>252723.0</c:v>
                </c:pt>
                <c:pt idx="3">
                  <c:v>5.129002E6</c:v>
                </c:pt>
                <c:pt idx="4">
                  <c:v>1.811109E6</c:v>
                </c:pt>
                <c:pt idx="5">
                  <c:v>1.762766E6</c:v>
                </c:pt>
                <c:pt idx="6">
                  <c:v>2.44071E6</c:v>
                </c:pt>
              </c:numCache>
            </c:numRef>
          </c:val>
        </c:ser>
        <c:dLbls>
          <c:showLegendKey val="0"/>
          <c:showVal val="0"/>
          <c:showCatName val="0"/>
          <c:showSerName val="0"/>
          <c:showPercent val="0"/>
          <c:showBubbleSize val="0"/>
        </c:dLbls>
        <c:gapWidth val="150"/>
        <c:axId val="1582203136"/>
        <c:axId val="-2127710496"/>
      </c:barChart>
      <c:catAx>
        <c:axId val="1582203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127710496"/>
        <c:crosses val="autoZero"/>
        <c:auto val="1"/>
        <c:lblAlgn val="ctr"/>
        <c:lblOffset val="100"/>
        <c:tickLblSkip val="1"/>
        <c:tickMarkSkip val="1"/>
        <c:noMultiLvlLbl val="0"/>
      </c:catAx>
      <c:valAx>
        <c:axId val="-212771049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582203136"/>
        <c:crosses val="autoZero"/>
        <c:crossBetween val="between"/>
      </c:valAx>
      <c:spPr>
        <a:noFill/>
        <a:ln w="25400">
          <a:noFill/>
        </a:ln>
      </c:spPr>
    </c:plotArea>
    <c:legend>
      <c:legendPos val="r"/>
      <c:layout>
        <c:manualLayout>
          <c:xMode val="edge"/>
          <c:yMode val="edge"/>
          <c:x val="0.236742085810702"/>
          <c:y val="0.891338582677165"/>
          <c:w val="0.497974931704965"/>
          <c:h val="0.079712997831792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0.0895526227117345"/>
          <c:w val="0.833140043193296"/>
          <c:h val="0.653207365662063"/>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c:formatCode>
                <c:ptCount val="12"/>
                <c:pt idx="0">
                  <c:v>0.8</c:v>
                </c:pt>
                <c:pt idx="1">
                  <c:v>0.8</c:v>
                </c:pt>
                <c:pt idx="2">
                  <c:v>0.8</c:v>
                </c:pt>
                <c:pt idx="3">
                  <c:v>0.8</c:v>
                </c:pt>
                <c:pt idx="4">
                  <c:v>0.613</c:v>
                </c:pt>
                <c:pt idx="5">
                  <c:v>0.613</c:v>
                </c:pt>
                <c:pt idx="6">
                  <c:v>0.613</c:v>
                </c:pt>
              </c:numCache>
            </c:numRef>
          </c:val>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0.799</c:v>
                </c:pt>
                <c:pt idx="1">
                  <c:v>0.595</c:v>
                </c:pt>
                <c:pt idx="2">
                  <c:v>0.58</c:v>
                </c:pt>
                <c:pt idx="3">
                  <c:v>0.57</c:v>
                </c:pt>
                <c:pt idx="4">
                  <c:v>0.535</c:v>
                </c:pt>
                <c:pt idx="5">
                  <c:v>0.535</c:v>
                </c:pt>
                <c:pt idx="6">
                  <c:v>0.563</c:v>
                </c:pt>
              </c:numCache>
            </c:numRef>
          </c:val>
        </c:ser>
        <c:dLbls>
          <c:showLegendKey val="0"/>
          <c:showVal val="0"/>
          <c:showCatName val="0"/>
          <c:showSerName val="0"/>
          <c:showPercent val="0"/>
          <c:showBubbleSize val="0"/>
        </c:dLbls>
        <c:gapWidth val="150"/>
        <c:axId val="-1167351904"/>
        <c:axId val="-2065723328"/>
      </c:barChart>
      <c:catAx>
        <c:axId val="-1167351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065723328"/>
        <c:crosses val="autoZero"/>
        <c:auto val="1"/>
        <c:lblAlgn val="ctr"/>
        <c:lblOffset val="100"/>
        <c:tickLblSkip val="1"/>
        <c:tickMarkSkip val="1"/>
        <c:noMultiLvlLbl val="0"/>
      </c:catAx>
      <c:valAx>
        <c:axId val="-206572332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167351904"/>
        <c:crosses val="autoZero"/>
        <c:crossBetween val="between"/>
      </c:valAx>
      <c:spPr>
        <a:noFill/>
        <a:ln w="25400">
          <a:noFill/>
        </a:ln>
      </c:spPr>
    </c:plotArea>
    <c:legend>
      <c:legendPos val="r"/>
      <c:layout>
        <c:manualLayout>
          <c:xMode val="edge"/>
          <c:yMode val="edge"/>
          <c:x val="0.195924473726498"/>
          <c:y val="0.87237113977774"/>
          <c:w val="0.497974931704965"/>
          <c:h val="0.0780169766013291"/>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2.3208938575E6</c:v>
                </c:pt>
                <c:pt idx="1">
                  <c:v>1.24469685010606E7</c:v>
                </c:pt>
                <c:pt idx="2">
                  <c:v>2.22508210196211E7</c:v>
                </c:pt>
                <c:pt idx="3">
                  <c:v>3.16299885381817E7</c:v>
                </c:pt>
                <c:pt idx="4">
                  <c:v>4.98926890756923E7</c:v>
                </c:pt>
                <c:pt idx="5">
                  <c:v>5.9598354439203E7</c:v>
                </c:pt>
                <c:pt idx="6">
                  <c:v>6.84961474540371E7</c:v>
                </c:pt>
                <c:pt idx="7">
                  <c:v>0.0</c:v>
                </c:pt>
                <c:pt idx="8">
                  <c:v>0.0</c:v>
                </c:pt>
                <c:pt idx="9">
                  <c:v>0.0</c:v>
                </c:pt>
                <c:pt idx="10">
                  <c:v>0.0</c:v>
                </c:pt>
              </c:numCache>
            </c:numRef>
          </c:val>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0.0</c:v>
                </c:pt>
                <c:pt idx="1">
                  <c:v>1.371597E7</c:v>
                </c:pt>
                <c:pt idx="2">
                  <c:v>1.371597E7</c:v>
                </c:pt>
                <c:pt idx="3">
                  <c:v>3.798550822E7</c:v>
                </c:pt>
                <c:pt idx="4">
                  <c:v>4.41789571E7</c:v>
                </c:pt>
                <c:pt idx="5">
                  <c:v>5.257196429E7</c:v>
                </c:pt>
                <c:pt idx="6">
                  <c:v>5.705911908E7</c:v>
                </c:pt>
                <c:pt idx="7">
                  <c:v>0.0</c:v>
                </c:pt>
                <c:pt idx="8">
                  <c:v>0.0</c:v>
                </c:pt>
                <c:pt idx="9">
                  <c:v>0.0</c:v>
                </c:pt>
                <c:pt idx="10">
                  <c:v>0.0</c:v>
                </c:pt>
              </c:numCache>
            </c:numRef>
          </c:val>
        </c:ser>
        <c:dLbls>
          <c:showLegendKey val="0"/>
          <c:showVal val="0"/>
          <c:showCatName val="0"/>
          <c:showSerName val="0"/>
          <c:showPercent val="0"/>
          <c:showBubbleSize val="0"/>
        </c:dLbls>
        <c:dropLines>
          <c:spPr>
            <a:ln w="3175">
              <a:solidFill>
                <a:srgbClr val="000000"/>
              </a:solidFill>
              <a:prstDash val="solid"/>
            </a:ln>
          </c:spPr>
        </c:dropLines>
        <c:axId val="-2065800992"/>
        <c:axId val="-2069329552"/>
      </c:areaChart>
      <c:catAx>
        <c:axId val="-2065800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2069329552"/>
        <c:crosses val="autoZero"/>
        <c:auto val="1"/>
        <c:lblAlgn val="ctr"/>
        <c:lblOffset val="100"/>
        <c:tickLblSkip val="8"/>
        <c:tickMarkSkip val="1"/>
        <c:noMultiLvlLbl val="0"/>
      </c:catAx>
      <c:valAx>
        <c:axId val="-206932955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065800992"/>
        <c:crosses val="autoZero"/>
        <c:crossBetween val="midCat"/>
      </c:valAx>
      <c:spPr>
        <a:solidFill>
          <a:srgbClr val="FFFFFF"/>
        </a:solidFill>
        <a:ln w="3175">
          <a:solidFill>
            <a:srgbClr val="000000"/>
          </a:solidFill>
          <a:prstDash val="solid"/>
        </a:ln>
      </c:spPr>
    </c:plotArea>
    <c:legend>
      <c:legendPos val="r"/>
      <c:layout>
        <c:manualLayout>
          <c:xMode val="edge"/>
          <c:yMode val="edge"/>
          <c:x val="0.0"/>
          <c:y val="0.0"/>
          <c:w val="0.0"/>
          <c:h val="0.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7"/>
          <c:y val="0.0756940158114746"/>
          <c:w val="0.743668245722586"/>
          <c:h val="0.580320787887972"/>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8.393007E6</c:v>
                </c:pt>
                <c:pt idx="1">
                  <c:v>1.5928857999E7</c:v>
                </c:pt>
                <c:pt idx="2">
                  <c:v>258157.0</c:v>
                </c:pt>
                <c:pt idx="3">
                  <c:v>251841.22</c:v>
                </c:pt>
              </c:numCache>
            </c:numRef>
          </c:val>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4.48715479E6</c:v>
                </c:pt>
                <c:pt idx="1">
                  <c:v>7.72236941E6</c:v>
                </c:pt>
                <c:pt idx="2">
                  <c:v>0.0</c:v>
                </c:pt>
                <c:pt idx="3">
                  <c:v>0.0</c:v>
                </c:pt>
              </c:numCache>
            </c:numRef>
          </c:val>
        </c:ser>
        <c:dLbls>
          <c:showLegendKey val="0"/>
          <c:showVal val="0"/>
          <c:showCatName val="0"/>
          <c:showSerName val="0"/>
          <c:showPercent val="0"/>
          <c:showBubbleSize val="0"/>
        </c:dLbls>
        <c:gapWidth val="150"/>
        <c:overlap val="100"/>
        <c:axId val="-942417856"/>
        <c:axId val="-942414640"/>
      </c:barChart>
      <c:catAx>
        <c:axId val="-94241785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942414640"/>
        <c:crossesAt val="0.0"/>
        <c:auto val="1"/>
        <c:lblAlgn val="ctr"/>
        <c:lblOffset val="100"/>
        <c:noMultiLvlLbl val="0"/>
      </c:catAx>
      <c:valAx>
        <c:axId val="-942414640"/>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42417856"/>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0.0938775510204081"/>
          <c:w val="0.84029484029484"/>
          <c:h val="0.53469387755102"/>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Vector control</c:v>
                </c:pt>
                <c:pt idx="1">
                  <c:v>Case management</c:v>
                </c:pt>
                <c:pt idx="2">
                  <c:v>Specific prevention interventions (SPI)</c:v>
                </c:pt>
                <c:pt idx="3">
                  <c:v>HSS - Health information systems and M&amp;E</c:v>
                </c:pt>
                <c:pt idx="4">
                  <c:v>HSS - Financial management</c:v>
                </c:pt>
              </c:strCache>
            </c:strRef>
          </c:cat>
          <c:val>
            <c:numRef>
              <c:f>'Data Entry'!$C$39:$C$43</c:f>
              <c:numCache>
                <c:formatCode>#,##0</c:formatCode>
                <c:ptCount val="5"/>
                <c:pt idx="0">
                  <c:v>2.86459698646302E7</c:v>
                </c:pt>
                <c:pt idx="1">
                  <c:v>2.90886911992165E7</c:v>
                </c:pt>
                <c:pt idx="2">
                  <c:v>3.4409887765097E6</c:v>
                </c:pt>
                <c:pt idx="3">
                  <c:v>5.05356719457657E6</c:v>
                </c:pt>
                <c:pt idx="4">
                  <c:v>217504.0077357505</c:v>
                </c:pt>
              </c:numCache>
            </c:numRef>
          </c:val>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Vector control</c:v>
                </c:pt>
                <c:pt idx="1">
                  <c:v>Case management</c:v>
                </c:pt>
                <c:pt idx="2">
                  <c:v>Specific prevention interventions (SPI)</c:v>
                </c:pt>
                <c:pt idx="3">
                  <c:v>HSS - Health information systems and M&amp;E</c:v>
                </c:pt>
                <c:pt idx="4">
                  <c:v>HSS - Financial management</c:v>
                </c:pt>
              </c:strCache>
            </c:strRef>
          </c:cat>
          <c:val>
            <c:numRef>
              <c:f>'Data Entry'!$D$39:$D$43</c:f>
              <c:numCache>
                <c:formatCode>#,##0</c:formatCode>
                <c:ptCount val="5"/>
                <c:pt idx="0">
                  <c:v>2.9441754333287E7</c:v>
                </c:pt>
                <c:pt idx="1">
                  <c:v>1.71243356658947E7</c:v>
                </c:pt>
                <c:pt idx="2">
                  <c:v>2.25913284E6</c:v>
                </c:pt>
                <c:pt idx="3">
                  <c:v>4.19423103E6</c:v>
                </c:pt>
                <c:pt idx="4">
                  <c:v>316505.62</c:v>
                </c:pt>
              </c:numCache>
            </c:numRef>
          </c:val>
        </c:ser>
        <c:dLbls>
          <c:showLegendKey val="0"/>
          <c:showVal val="0"/>
          <c:showCatName val="0"/>
          <c:showSerName val="0"/>
          <c:showPercent val="0"/>
          <c:showBubbleSize val="0"/>
        </c:dLbls>
        <c:gapWidth val="150"/>
        <c:axId val="-945312816"/>
        <c:axId val="-945309776"/>
      </c:barChart>
      <c:catAx>
        <c:axId val="-945312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945309776"/>
        <c:crosses val="autoZero"/>
        <c:auto val="1"/>
        <c:lblAlgn val="ctr"/>
        <c:lblOffset val="100"/>
        <c:tickMarkSkip val="1"/>
        <c:noMultiLvlLbl val="0"/>
      </c:catAx>
      <c:valAx>
        <c:axId val="-94530977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945312816"/>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0" l="0.75" r="0.75" t="1.0"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0614407415261908"/>
          <c:y val="0.195653558463248"/>
          <c:w val="0.868644966404767"/>
          <c:h val="0.420292829291421"/>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3"/>
                  <c:y val="-0.296113707617182"/>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6.0</c:v>
                </c:pt>
              </c:numCache>
            </c:numRef>
          </c:val>
        </c:ser>
        <c:dLbls>
          <c:showLegendKey val="0"/>
          <c:showVal val="0"/>
          <c:showCatName val="0"/>
          <c:showSerName val="0"/>
          <c:showPercent val="0"/>
          <c:showBubbleSize val="0"/>
        </c:dLbls>
        <c:gapWidth val="79"/>
        <c:overlap val="100"/>
        <c:axId val="-941340576"/>
        <c:axId val="-941614160"/>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Entry'!$D$79</c:f>
              <c:numCache>
                <c:formatCode>General</c:formatCode>
                <c:ptCount val="1"/>
                <c:pt idx="0">
                  <c:v>6.0</c:v>
                </c:pt>
              </c:numCache>
            </c:numRef>
          </c:val>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Entry'!$E$79</c:f>
              <c:numCache>
                <c:formatCode>General</c:formatCode>
                <c:ptCount val="1"/>
                <c:pt idx="0">
                  <c:v>0.0</c:v>
                </c:pt>
              </c:numCache>
            </c:numRef>
          </c:val>
        </c:ser>
        <c:dLbls>
          <c:showLegendKey val="0"/>
          <c:showVal val="0"/>
          <c:showCatName val="0"/>
          <c:showSerName val="0"/>
          <c:showPercent val="0"/>
          <c:showBubbleSize val="0"/>
        </c:dLbls>
        <c:gapWidth val="191"/>
        <c:overlap val="100"/>
        <c:axId val="-941610848"/>
        <c:axId val="-941608096"/>
      </c:barChart>
      <c:catAx>
        <c:axId val="-941340576"/>
        <c:scaling>
          <c:orientation val="minMax"/>
        </c:scaling>
        <c:delete val="1"/>
        <c:axPos val="l"/>
        <c:majorTickMark val="out"/>
        <c:minorTickMark val="none"/>
        <c:tickLblPos val="nextTo"/>
        <c:crossAx val="-941614160"/>
        <c:crosses val="autoZero"/>
        <c:auto val="1"/>
        <c:lblAlgn val="ctr"/>
        <c:lblOffset val="100"/>
        <c:noMultiLvlLbl val="0"/>
      </c:catAx>
      <c:valAx>
        <c:axId val="-94161416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941340576"/>
        <c:crosses val="max"/>
        <c:crossBetween val="between"/>
      </c:valAx>
      <c:catAx>
        <c:axId val="-941610848"/>
        <c:scaling>
          <c:orientation val="minMax"/>
        </c:scaling>
        <c:delete val="1"/>
        <c:axPos val="l"/>
        <c:majorTickMark val="out"/>
        <c:minorTickMark val="none"/>
        <c:tickLblPos val="nextTo"/>
        <c:crossAx val="-941608096"/>
        <c:crosses val="autoZero"/>
        <c:auto val="0"/>
        <c:lblAlgn val="ctr"/>
        <c:lblOffset val="100"/>
        <c:noMultiLvlLbl val="0"/>
      </c:catAx>
      <c:valAx>
        <c:axId val="-941608096"/>
        <c:scaling>
          <c:orientation val="minMax"/>
        </c:scaling>
        <c:delete val="0"/>
        <c:axPos val="b"/>
        <c:numFmt formatCode="0%" sourceLinked="0"/>
        <c:majorTickMark val="none"/>
        <c:minorTickMark val="none"/>
        <c:tickLblPos val="none"/>
        <c:spPr>
          <a:ln w="3175">
            <a:solidFill>
              <a:srgbClr val="000000"/>
            </a:solidFill>
            <a:prstDash val="solid"/>
          </a:ln>
        </c:spPr>
        <c:crossAx val="-941610848"/>
        <c:crosses val="autoZero"/>
        <c:crossBetween val="between"/>
      </c:valAx>
      <c:spPr>
        <a:solidFill>
          <a:srgbClr val="FFFFFF"/>
        </a:solidFill>
        <a:ln w="25400">
          <a:noFill/>
        </a:ln>
      </c:spPr>
    </c:plotArea>
    <c:legend>
      <c:legendPos val="r"/>
      <c:legendEntry>
        <c:idx val="0"/>
        <c:delete val="1"/>
      </c:legendEntry>
      <c:layout>
        <c:manualLayout>
          <c:xMode val="edge"/>
          <c:yMode val="edge"/>
          <c:x val="0.300257517438112"/>
          <c:y val="0.767019341028973"/>
          <c:w val="0.166258181747133"/>
          <c:h val="0.145636419234003"/>
        </c:manualLayout>
      </c:layout>
      <c:overlay val="0"/>
      <c:spPr>
        <a:noFill/>
        <a:ln w="25400">
          <a:noFill/>
        </a:ln>
      </c:spPr>
      <c:txPr>
        <a:bodyPr/>
        <a:lstStyle/>
        <a:p>
          <a:pPr>
            <a:defRPr sz="57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709382151029748"/>
          <c:y val="0.136612750879178"/>
          <c:w val="0.897025171624714"/>
          <c:h val="0.606560613903549"/>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Entry'!$C$84</c:f>
              <c:numCache>
                <c:formatCode>General</c:formatCode>
                <c:ptCount val="1"/>
                <c:pt idx="0">
                  <c:v>61.0</c:v>
                </c:pt>
              </c:numCache>
            </c:numRef>
          </c:val>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Entry'!$D$84</c:f>
              <c:numCache>
                <c:formatCode>General</c:formatCode>
                <c:ptCount val="1"/>
                <c:pt idx="0">
                  <c:v>61.0</c:v>
                </c:pt>
              </c:numCache>
            </c:numRef>
          </c:val>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Entry'!$E$84</c:f>
              <c:numCache>
                <c:formatCode>General</c:formatCode>
                <c:ptCount val="1"/>
                <c:pt idx="0">
                  <c:v>33.0</c:v>
                </c:pt>
              </c:numCache>
            </c:numRef>
          </c:val>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Entry'!$F$84</c:f>
              <c:numCache>
                <c:formatCode>General</c:formatCode>
                <c:ptCount val="1"/>
                <c:pt idx="0">
                  <c:v>33.0</c:v>
                </c:pt>
              </c:numCache>
            </c:numRef>
          </c:val>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Entry'!$G$84</c:f>
              <c:numCache>
                <c:formatCode>General</c:formatCode>
                <c:ptCount val="1"/>
                <c:pt idx="0">
                  <c:v>33.0</c:v>
                </c:pt>
              </c:numCache>
            </c:numRef>
          </c:val>
        </c:ser>
        <c:dLbls>
          <c:showLegendKey val="0"/>
          <c:showVal val="0"/>
          <c:showCatName val="0"/>
          <c:showSerName val="0"/>
          <c:showPercent val="0"/>
          <c:showBubbleSize val="0"/>
        </c:dLbls>
        <c:gapWidth val="150"/>
        <c:overlap val="-20"/>
        <c:axId val="-2104018400"/>
        <c:axId val="-942341568"/>
      </c:barChart>
      <c:catAx>
        <c:axId val="-2104018400"/>
        <c:scaling>
          <c:orientation val="minMax"/>
        </c:scaling>
        <c:delete val="0"/>
        <c:axPos val="b"/>
        <c:majorTickMark val="none"/>
        <c:minorTickMark val="none"/>
        <c:tickLblPos val="none"/>
        <c:spPr>
          <a:ln w="3175">
            <a:solidFill>
              <a:srgbClr val="000000"/>
            </a:solidFill>
            <a:prstDash val="solid"/>
          </a:ln>
        </c:spPr>
        <c:crossAx val="-942341568"/>
        <c:crosses val="autoZero"/>
        <c:auto val="0"/>
        <c:lblAlgn val="ctr"/>
        <c:lblOffset val="100"/>
        <c:tickMarkSkip val="1"/>
        <c:noMultiLvlLbl val="0"/>
      </c:catAx>
      <c:valAx>
        <c:axId val="-942341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04018400"/>
        <c:crosses val="autoZero"/>
        <c:crossBetween val="between"/>
      </c:valAx>
      <c:spPr>
        <a:noFill/>
        <a:ln w="25400">
          <a:noFill/>
        </a:ln>
      </c:spPr>
    </c:plotArea>
    <c:legend>
      <c:legendPos val="r"/>
      <c:layout>
        <c:manualLayout>
          <c:xMode val="edge"/>
          <c:yMode val="edge"/>
          <c:x val="0.147143684696089"/>
          <c:y val="0.832147249841945"/>
          <c:w val="0.738443648222446"/>
          <c:h val="0.102193804241623"/>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
          <c:y val="0.056"/>
          <c:w val="0.544622425629291"/>
          <c:h val="0.56"/>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3.0</c:v>
                </c:pt>
                <c:pt idx="1">
                  <c:v>0.0</c:v>
                </c:pt>
              </c:numCache>
            </c:numRef>
          </c:val>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3.0</c:v>
                </c:pt>
                <c:pt idx="1">
                  <c:v>0.0</c:v>
                </c:pt>
              </c:numCache>
            </c:numRef>
          </c:val>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0.0</c:v>
                </c:pt>
                <c:pt idx="1">
                  <c:v>0.0</c:v>
                </c:pt>
              </c:numCache>
            </c:numRef>
          </c:val>
        </c:ser>
        <c:dLbls>
          <c:showLegendKey val="0"/>
          <c:showVal val="0"/>
          <c:showCatName val="0"/>
          <c:showSerName val="0"/>
          <c:showPercent val="0"/>
          <c:showBubbleSize val="0"/>
        </c:dLbls>
        <c:gapWidth val="70"/>
        <c:overlap val="100"/>
        <c:axId val="-941530672"/>
        <c:axId val="-942369792"/>
      </c:barChart>
      <c:catAx>
        <c:axId val="-941530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42369792"/>
        <c:crosses val="autoZero"/>
        <c:auto val="1"/>
        <c:lblAlgn val="ctr"/>
        <c:lblOffset val="100"/>
        <c:tickLblSkip val="1"/>
        <c:tickMarkSkip val="1"/>
        <c:noMultiLvlLbl val="0"/>
      </c:catAx>
      <c:valAx>
        <c:axId val="-94236979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41530672"/>
        <c:crosses val="autoZero"/>
        <c:crossBetween val="between"/>
      </c:valAx>
      <c:spPr>
        <a:noFill/>
        <a:ln w="25400">
          <a:noFill/>
        </a:ln>
      </c:spPr>
    </c:plotArea>
    <c:legend>
      <c:legendPos val="r"/>
      <c:layout>
        <c:manualLayout>
          <c:xMode val="edge"/>
          <c:yMode val="edge"/>
          <c:x val="0.0239370078740157"/>
          <c:y val="0.787265873680683"/>
          <c:w val="0.827154255319149"/>
          <c:h val="0.148942033841514"/>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
          <c:y val="0.121547289222444"/>
          <c:w val="0.603273188413033"/>
          <c:h val="0.55248767828383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0">
                  <c:v>0.0</c:v>
                </c:pt>
                <c:pt idx="1">
                  <c:v>0.0</c:v>
                </c:pt>
              </c:numCache>
            </c:numRef>
          </c:val>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dLbl>
              <c:idx val="1"/>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0.0</c:v>
                </c:pt>
                <c:pt idx="1">
                  <c:v>0.0</c:v>
                </c:pt>
              </c:numCache>
            </c:numRef>
          </c:val>
        </c:ser>
        <c:dLbls>
          <c:showLegendKey val="0"/>
          <c:showVal val="0"/>
          <c:showCatName val="0"/>
          <c:showSerName val="0"/>
          <c:showPercent val="0"/>
          <c:showBubbleSize val="0"/>
        </c:dLbls>
        <c:gapWidth val="101"/>
        <c:overlap val="100"/>
        <c:axId val="1590531616"/>
        <c:axId val="-2069631792"/>
      </c:barChart>
      <c:catAx>
        <c:axId val="15905316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069631792"/>
        <c:crosses val="autoZero"/>
        <c:auto val="1"/>
        <c:lblAlgn val="ctr"/>
        <c:lblOffset val="100"/>
        <c:noMultiLvlLbl val="0"/>
      </c:catAx>
      <c:valAx>
        <c:axId val="-206963179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590531616"/>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5176967514739"/>
          <c:y val="0.786792496526169"/>
          <c:w val="0.306542159616982"/>
          <c:h val="0.139710514126911"/>
        </c:manualLayout>
      </c:layout>
      <c:overlay val="0"/>
      <c:spPr>
        <a:noFill/>
        <a:ln w="25400">
          <a:noFill/>
        </a:ln>
      </c:spPr>
      <c:txPr>
        <a:bodyPr/>
        <a:lstStyle/>
        <a:p>
          <a:pPr>
            <a:defRPr sz="57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
          <c:y val="0.10989010989011"/>
          <c:w val="0.810947243633502"/>
          <c:h val="0.543956043956044"/>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0.0</c:v>
                </c:pt>
                <c:pt idx="1">
                  <c:v>7.866505E6</c:v>
                </c:pt>
                <c:pt idx="2">
                  <c:v>1.573301E7</c:v>
                </c:pt>
                <c:pt idx="3">
                  <c:v>2.3599515E7</c:v>
                </c:pt>
                <c:pt idx="4">
                  <c:v>3.6426955E7</c:v>
                </c:pt>
                <c:pt idx="5">
                  <c:v>4.0624714E7</c:v>
                </c:pt>
                <c:pt idx="6">
                  <c:v>4.6079698E7</c:v>
                </c:pt>
                <c:pt idx="7">
                  <c:v>4.6079698E7</c:v>
                </c:pt>
                <c:pt idx="8">
                  <c:v>4.6079698E7</c:v>
                </c:pt>
                <c:pt idx="9">
                  <c:v>4.6079698E7</c:v>
                </c:pt>
                <c:pt idx="10">
                  <c:v>4.6079698E7</c:v>
                </c:pt>
                <c:pt idx="11">
                  <c:v>4.6079698E7</c:v>
                </c:pt>
              </c:numCache>
            </c:numRef>
          </c:val>
          <c:smooth val="0"/>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0.0</c:v>
                </c:pt>
                <c:pt idx="1">
                  <c:v>7.866505E6</c:v>
                </c:pt>
                <c:pt idx="2">
                  <c:v>1.573301E7</c:v>
                </c:pt>
                <c:pt idx="3">
                  <c:v>2.3599515E7</c:v>
                </c:pt>
                <c:pt idx="4">
                  <c:v>2.979296388E7</c:v>
                </c:pt>
                <c:pt idx="5">
                  <c:v>3.818597107E7</c:v>
                </c:pt>
                <c:pt idx="6">
                  <c:v>4.267312586E7</c:v>
                </c:pt>
                <c:pt idx="7">
                  <c:v>4.267312586E7</c:v>
                </c:pt>
                <c:pt idx="8">
                  <c:v>4.267312586E7</c:v>
                </c:pt>
                <c:pt idx="9">
                  <c:v>4.267312586E7</c:v>
                </c:pt>
                <c:pt idx="10">
                  <c:v>4.267312586E7</c:v>
                </c:pt>
                <c:pt idx="11">
                  <c:v>4.267312586E7</c:v>
                </c:pt>
              </c:numCache>
            </c:numRef>
          </c:val>
          <c:smooth val="0"/>
        </c:ser>
        <c:dLbls>
          <c:showLegendKey val="0"/>
          <c:showVal val="0"/>
          <c:showCatName val="0"/>
          <c:showSerName val="0"/>
          <c:showPercent val="0"/>
          <c:showBubbleSize val="0"/>
        </c:dLbls>
        <c:marker val="1"/>
        <c:smooth val="0"/>
        <c:axId val="-944246704"/>
        <c:axId val="-2066006528"/>
      </c:lineChart>
      <c:catAx>
        <c:axId val="-944246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2066006528"/>
        <c:crosses val="autoZero"/>
        <c:auto val="1"/>
        <c:lblAlgn val="ctr"/>
        <c:lblOffset val="100"/>
        <c:tickLblSkip val="1"/>
        <c:tickMarkSkip val="1"/>
        <c:noMultiLvlLbl val="0"/>
      </c:catAx>
      <c:valAx>
        <c:axId val="-206600652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944246704"/>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750989941"/>
          <c:y val="0.671557560779355"/>
          <c:w val="0.803493468663238"/>
          <c:h val="0.167889533881258"/>
        </c:manualLayout>
      </c:layout>
      <c:overlay val="0"/>
      <c:spPr>
        <a:noFill/>
        <a:ln w="25400">
          <a:noFill/>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0.0895526227117345"/>
          <c:w val="0.833140043193296"/>
          <c:h val="0.653207365662063"/>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0.55</c:v>
                </c:pt>
                <c:pt idx="1">
                  <c:v>0.55</c:v>
                </c:pt>
                <c:pt idx="2">
                  <c:v>0.55</c:v>
                </c:pt>
                <c:pt idx="3">
                  <c:v>0.55</c:v>
                </c:pt>
                <c:pt idx="4">
                  <c:v>0.607</c:v>
                </c:pt>
                <c:pt idx="5">
                  <c:v>0.607</c:v>
                </c:pt>
                <c:pt idx="6">
                  <c:v>0.607</c:v>
                </c:pt>
              </c:numCache>
            </c:numRef>
          </c:val>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0.392</c:v>
                </c:pt>
                <c:pt idx="1">
                  <c:v>0.42</c:v>
                </c:pt>
                <c:pt idx="2">
                  <c:v>0.5125</c:v>
                </c:pt>
                <c:pt idx="3">
                  <c:v>0.41</c:v>
                </c:pt>
                <c:pt idx="4">
                  <c:v>0.367</c:v>
                </c:pt>
                <c:pt idx="5">
                  <c:v>0.357</c:v>
                </c:pt>
                <c:pt idx="6">
                  <c:v>0.403</c:v>
                </c:pt>
              </c:numCache>
            </c:numRef>
          </c:val>
        </c:ser>
        <c:dLbls>
          <c:showLegendKey val="0"/>
          <c:showVal val="0"/>
          <c:showCatName val="0"/>
          <c:showSerName val="0"/>
          <c:showPercent val="0"/>
          <c:showBubbleSize val="0"/>
        </c:dLbls>
        <c:gapWidth val="150"/>
        <c:axId val="-2103370624"/>
        <c:axId val="-2069528928"/>
      </c:barChart>
      <c:catAx>
        <c:axId val="-2103370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069528928"/>
        <c:crosses val="autoZero"/>
        <c:auto val="1"/>
        <c:lblAlgn val="ctr"/>
        <c:lblOffset val="100"/>
        <c:tickLblSkip val="1"/>
        <c:tickMarkSkip val="1"/>
        <c:noMultiLvlLbl val="0"/>
      </c:catAx>
      <c:valAx>
        <c:axId val="-206952892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103370624"/>
        <c:crosses val="autoZero"/>
        <c:crossBetween val="between"/>
      </c:valAx>
      <c:spPr>
        <a:noFill/>
        <a:ln w="25400">
          <a:noFill/>
        </a:ln>
      </c:spPr>
    </c:plotArea>
    <c:legend>
      <c:legendPos val="r"/>
      <c:layout>
        <c:manualLayout>
          <c:xMode val="edge"/>
          <c:yMode val="edge"/>
          <c:x val="0.2015878746382"/>
          <c:y val="0.906503710417493"/>
          <c:w val="0.505946282406399"/>
          <c:h val="0.0791389565512944"/>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1" Type="http://schemas.openxmlformats.org/officeDocument/2006/relationships/image" Target="../media/image3.png"/><Relationship Id="rId12" Type="http://schemas.openxmlformats.org/officeDocument/2006/relationships/image" Target="../media/image4.png"/><Relationship Id="rId13" Type="http://schemas.openxmlformats.org/officeDocument/2006/relationships/image" Target="../media/image5.png"/><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hyperlink" Target="#Finance!A1"/><Relationship Id="rId4" Type="http://schemas.openxmlformats.org/officeDocument/2006/relationships/hyperlink" Target="#Programmatic!A1"/><Relationship Id="rId5" Type="http://schemas.openxmlformats.org/officeDocument/2006/relationships/hyperlink" Target="#Management!A1"/><Relationship Id="rId6" Type="http://schemas.openxmlformats.org/officeDocument/2006/relationships/hyperlink" Target="#Recommendations!A1"/><Relationship Id="rId7" Type="http://schemas.openxmlformats.org/officeDocument/2006/relationships/hyperlink" Target="#Actions!A1"/><Relationship Id="rId8" Type="http://schemas.openxmlformats.org/officeDocument/2006/relationships/hyperlink" Target="#'Grant Detail'!A1"/><Relationship Id="rId9" Type="http://schemas.openxmlformats.org/officeDocument/2006/relationships/hyperlink" Target="#'List of Indicators'!A1"/><Relationship Id="rId10" Type="http://schemas.openxmlformats.org/officeDocument/2006/relationships/hyperlink" Target="#'Data Entry'!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1" Type="http://schemas.openxmlformats.org/officeDocument/2006/relationships/hyperlink" Target="http://www.crwflags.com/fotw/flags/country.html#http://www.crwflags.com/fotw/flags/country.html" TargetMode="External"/><Relationship Id="rId2" Type="http://schemas.openxmlformats.org/officeDocument/2006/relationships/hyperlink" Target="#Menu!A1"/></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4" Type="http://schemas.openxmlformats.org/officeDocument/2006/relationships/image" Target="../media/image6.png"/><Relationship Id="rId5" Type="http://schemas.openxmlformats.org/officeDocument/2006/relationships/chart" Target="../charts/chart3.xml"/><Relationship Id="rId6" Type="http://schemas.openxmlformats.org/officeDocument/2006/relationships/image" Target="../media/image7.png"/><Relationship Id="rId1" Type="http://schemas.openxmlformats.org/officeDocument/2006/relationships/chart" Target="../charts/chart1.xml"/><Relationship Id="rId2" Type="http://schemas.openxmlformats.org/officeDocument/2006/relationships/hyperlink" Target="#Menu!A1"/></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4" Type="http://schemas.openxmlformats.org/officeDocument/2006/relationships/chart" Target="../charts/chart7.xml"/><Relationship Id="rId5" Type="http://schemas.openxmlformats.org/officeDocument/2006/relationships/chart" Target="../charts/chart8.xml"/><Relationship Id="rId6" Type="http://schemas.openxmlformats.org/officeDocument/2006/relationships/hyperlink" Target="#Menu!A1"/><Relationship Id="rId1" Type="http://schemas.openxmlformats.org/officeDocument/2006/relationships/chart" Target="../charts/chart4.xml"/><Relationship Id="rId2"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4" Type="http://schemas.openxmlformats.org/officeDocument/2006/relationships/chart" Target="../charts/chart11.xml"/><Relationship Id="rId1" Type="http://schemas.openxmlformats.org/officeDocument/2006/relationships/chart" Target="../charts/chart9.xml"/><Relationship Id="rId2" Type="http://schemas.openxmlformats.org/officeDocument/2006/relationships/hyperlink" Target="#Menu!A1"/></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 Id="rId2"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114300</xdr:rowOff>
    </xdr:to>
    <xdr:pic>
      <xdr:nvPicPr>
        <xdr:cNvPr id="4943458" name="Picture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50800</xdr:rowOff>
    </xdr:from>
    <xdr:to>
      <xdr:col>11</xdr:col>
      <xdr:colOff>622300</xdr:colOff>
      <xdr:row>18</xdr:row>
      <xdr:rowOff>152400</xdr:rowOff>
    </xdr:to>
    <xdr:pic>
      <xdr:nvPicPr>
        <xdr:cNvPr id="4943459" name="Picture 8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66900"/>
          <a:ext cx="2590800" cy="219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114300</xdr:rowOff>
    </xdr:from>
    <xdr:to>
      <xdr:col>7</xdr:col>
      <xdr:colOff>641236</xdr:colOff>
      <xdr:row>18</xdr:row>
      <xdr:rowOff>76200</xdr:rowOff>
    </xdr:to>
    <xdr:sp macro="" textlink="">
      <xdr:nvSpPr>
        <xdr:cNvPr id="4187670" name="AutoShape 27"/>
        <xdr:cNvSpPr>
          <a:spLocks noChangeArrowheads="1"/>
        </xdr:cNvSpPr>
      </xdr:nvSpPr>
      <xdr:spPr bwMode="gray">
        <a:xfrm>
          <a:off x="3009900" y="1930400"/>
          <a:ext cx="2971800" cy="20574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50800</xdr:rowOff>
    </xdr:from>
    <xdr:to>
      <xdr:col>6</xdr:col>
      <xdr:colOff>609600</xdr:colOff>
      <xdr:row>12</xdr:row>
      <xdr:rowOff>38100</xdr:rowOff>
    </xdr:to>
    <xdr:grpSp>
      <xdr:nvGrpSpPr>
        <xdr:cNvPr id="4943461" name="Group 25">
          <a:hlinkClick xmlns:r="http://schemas.openxmlformats.org/officeDocument/2006/relationships" r:id="rId3"/>
        </xdr:cNvPr>
        <xdr:cNvGrpSpPr>
          <a:grpSpLocks/>
        </xdr:cNvGrpSpPr>
      </xdr:nvGrpSpPr>
      <xdr:grpSpPr bwMode="auto">
        <a:xfrm>
          <a:off x="3924300" y="2438400"/>
          <a:ext cx="1155700" cy="368300"/>
          <a:chOff x="1200" y="1912"/>
          <a:chExt cx="3456" cy="774"/>
        </a:xfrm>
      </xdr:grpSpPr>
      <xdr:sp macro="" textlink="">
        <xdr:nvSpPr>
          <xdr:cNvPr id="49431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vertOverflow="clip" wrap="square" lIns="18288" tIns="0" rIns="0" bIns="0" anchor="t" upright="1"/>
          <a:lstStyle/>
          <a:p>
            <a:pPr algn="ctr" rtl="0">
              <a:defRPr sz="1000"/>
            </a:pPr>
            <a:endParaRPr lang="en-US"/>
          </a:p>
        </xdr:txBody>
      </xdr:sp>
      <xdr:sp macro="" textlink="">
        <xdr:nvSpPr>
          <xdr:cNvPr id="22" name="AutoShape 27"/>
          <xdr:cNvSpPr>
            <a:spLocks noChangeArrowheads="1"/>
          </xdr:cNvSpPr>
        </xdr:nvSpPr>
        <xdr:spPr bwMode="gray">
          <a:xfrm>
            <a:off x="1276" y="1992"/>
            <a:ext cx="3266"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314" y="1992"/>
            <a:ext cx="342"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4943462" name="Group 25">
          <a:hlinkClick xmlns:r="http://schemas.openxmlformats.org/officeDocument/2006/relationships" r:id="rId4"/>
        </xdr:cNvPr>
        <xdr:cNvGrpSpPr>
          <a:grpSpLocks/>
        </xdr:cNvGrpSpPr>
      </xdr:nvGrpSpPr>
      <xdr:grpSpPr bwMode="auto">
        <a:xfrm>
          <a:off x="3962400" y="3517900"/>
          <a:ext cx="1231900" cy="368300"/>
          <a:chOff x="1200" y="1912"/>
          <a:chExt cx="3456" cy="774"/>
        </a:xfrm>
      </xdr:grpSpPr>
      <xdr:sp macro="" textlink="">
        <xdr:nvSpPr>
          <xdr:cNvPr id="4943152"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vertOverflow="clip" wrap="square" lIns="18288" tIns="0" rIns="0" bIns="0" anchor="t" upright="1"/>
          <a:lstStyle/>
          <a:p>
            <a:pPr algn="ctr" rtl="0">
              <a:defRPr sz="1000"/>
            </a:pPr>
            <a:endParaRPr lang="en-US"/>
          </a:p>
        </xdr:txBody>
      </xdr:sp>
      <xdr:sp macro="" textlink="">
        <xdr:nvSpPr>
          <xdr:cNvPr id="26" name="AutoShape 27"/>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4943463" name="Group 25">
          <a:hlinkClick xmlns:r="http://schemas.openxmlformats.org/officeDocument/2006/relationships" r:id="rId5"/>
        </xdr:cNvPr>
        <xdr:cNvGrpSpPr>
          <a:grpSpLocks/>
        </xdr:cNvGrpSpPr>
      </xdr:nvGrpSpPr>
      <xdr:grpSpPr bwMode="auto">
        <a:xfrm>
          <a:off x="3924300" y="2971800"/>
          <a:ext cx="1231900" cy="368300"/>
          <a:chOff x="1200" y="1912"/>
          <a:chExt cx="3456" cy="774"/>
        </a:xfrm>
      </xdr:grpSpPr>
      <xdr:sp macro="" textlink="">
        <xdr:nvSpPr>
          <xdr:cNvPr id="4943149"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vertOverflow="clip" wrap="square" lIns="18288" tIns="0" rIns="0" bIns="0" anchor="t" upright="1"/>
          <a:lstStyle/>
          <a:p>
            <a:pPr algn="ctr" rtl="0">
              <a:defRPr sz="1000"/>
            </a:pPr>
            <a:endParaRPr lang="en-US"/>
          </a:p>
        </xdr:txBody>
      </xdr:sp>
      <xdr:sp macro="" textlink="">
        <xdr:nvSpPr>
          <xdr:cNvPr id="207941" name="AutoShape 27"/>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358775</xdr:colOff>
      <xdr:row>5</xdr:row>
      <xdr:rowOff>0</xdr:rowOff>
    </xdr:from>
    <xdr:to>
      <xdr:col>7</xdr:col>
      <xdr:colOff>463611</xdr:colOff>
      <xdr:row>6</xdr:row>
      <xdr:rowOff>70803</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4943465" name="Group 832">
          <a:hlinkClick xmlns:r="http://schemas.openxmlformats.org/officeDocument/2006/relationships" r:id="rId6"/>
        </xdr:cNvPr>
        <xdr:cNvGrpSpPr>
          <a:grpSpLocks/>
        </xdr:cNvGrpSpPr>
      </xdr:nvGrpSpPr>
      <xdr:grpSpPr bwMode="auto">
        <a:xfrm>
          <a:off x="6565900" y="2578100"/>
          <a:ext cx="1727200" cy="406400"/>
          <a:chOff x="599" y="262"/>
          <a:chExt cx="158" cy="43"/>
        </a:xfrm>
      </xdr:grpSpPr>
      <xdr:sp macro="" textlink="">
        <xdr:nvSpPr>
          <xdr:cNvPr id="4943145"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vertOverflow="clip" wrap="square" lIns="18288" tIns="0" rIns="0" bIns="0" anchor="t" upright="1"/>
          <a:lstStyle/>
          <a:p>
            <a:pPr algn="ctr" rtl="0">
              <a:defRPr sz="1000"/>
            </a:pPr>
            <a:endParaRPr lang="en-US"/>
          </a:p>
        </xdr:txBody>
      </xdr:sp>
      <xdr:grpSp>
        <xdr:nvGrpSpPr>
          <xdr:cNvPr id="4943496"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009457" y="2647024"/>
              <a:ext cx="368941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4943498" name="Freeform 32"/>
            <xdr:cNvSpPr>
              <a:spLocks/>
            </xdr:cNvSpPr>
          </xdr:nvSpPr>
          <xdr:spPr bwMode="gray">
            <a:xfrm>
              <a:off x="1148157" y="2799393"/>
              <a:ext cx="360620" cy="32650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76200</xdr:rowOff>
    </xdr:from>
    <xdr:to>
      <xdr:col>4</xdr:col>
      <xdr:colOff>127000</xdr:colOff>
      <xdr:row>18</xdr:row>
      <xdr:rowOff>114300</xdr:rowOff>
    </xdr:to>
    <xdr:grpSp>
      <xdr:nvGrpSpPr>
        <xdr:cNvPr id="4943466" name="Group 830"/>
        <xdr:cNvGrpSpPr>
          <a:grpSpLocks/>
        </xdr:cNvGrpSpPr>
      </xdr:nvGrpSpPr>
      <xdr:grpSpPr bwMode="auto">
        <a:xfrm>
          <a:off x="368300" y="1892300"/>
          <a:ext cx="2476500" cy="2133600"/>
          <a:chOff x="32" y="188"/>
          <a:chExt cx="225" cy="225"/>
        </a:xfrm>
      </xdr:grpSpPr>
      <xdr:sp macro="" textlink="">
        <xdr:nvSpPr>
          <xdr:cNvPr id="4187703"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xdr:cNvSpPr>
            <a:spLocks/>
          </xdr:cNvSpPr>
        </xdr:nvSpPr>
        <xdr:spPr bwMode="gray">
          <a:xfrm>
            <a:off x="42" y="197"/>
            <a:ext cx="53"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50800</xdr:rowOff>
    </xdr:from>
    <xdr:to>
      <xdr:col>11</xdr:col>
      <xdr:colOff>177800</xdr:colOff>
      <xdr:row>16</xdr:row>
      <xdr:rowOff>76200</xdr:rowOff>
    </xdr:to>
    <xdr:grpSp>
      <xdr:nvGrpSpPr>
        <xdr:cNvPr id="4943467" name="Group 826"/>
        <xdr:cNvGrpSpPr>
          <a:grpSpLocks/>
        </xdr:cNvGrpSpPr>
      </xdr:nvGrpSpPr>
      <xdr:grpSpPr bwMode="auto">
        <a:xfrm>
          <a:off x="6553200" y="3200400"/>
          <a:ext cx="1727200" cy="406400"/>
          <a:chOff x="578" y="328"/>
          <a:chExt cx="158" cy="43"/>
        </a:xfrm>
      </xdr:grpSpPr>
      <xdr:sp macro="" textlink="">
        <xdr:nvSpPr>
          <xdr:cNvPr id="4943139"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vertOverflow="clip" wrap="square" lIns="18288" tIns="0" rIns="0" bIns="0" anchor="t" upright="1"/>
          <a:lstStyle/>
          <a:p>
            <a:pPr algn="ctr" rtl="0">
              <a:defRPr sz="1000"/>
            </a:pPr>
            <a:endParaRPr lang="en-US"/>
          </a:p>
        </xdr:txBody>
      </xdr:sp>
      <xdr:grpSp>
        <xdr:nvGrpSpPr>
          <xdr:cNvPr id="4943490"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4943492" name="Freeform 32"/>
            <xdr:cNvSpPr>
              <a:spLocks/>
            </xdr:cNvSpPr>
          </xdr:nvSpPr>
          <xdr:spPr bwMode="gray">
            <a:xfrm>
              <a:off x="586" y="335"/>
              <a:ext cx="14" cy="20"/>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139700</xdr:rowOff>
    </xdr:from>
    <xdr:to>
      <xdr:col>3</xdr:col>
      <xdr:colOff>571500</xdr:colOff>
      <xdr:row>17</xdr:row>
      <xdr:rowOff>101600</xdr:rowOff>
    </xdr:to>
    <xdr:grpSp>
      <xdr:nvGrpSpPr>
        <xdr:cNvPr id="4943468" name="Group 831">
          <a:hlinkClick xmlns:r="http://schemas.openxmlformats.org/officeDocument/2006/relationships" r:id="rId8"/>
        </xdr:cNvPr>
        <xdr:cNvGrpSpPr>
          <a:grpSpLocks/>
        </xdr:cNvGrpSpPr>
      </xdr:nvGrpSpPr>
      <xdr:grpSpPr bwMode="auto">
        <a:xfrm>
          <a:off x="685800" y="3479800"/>
          <a:ext cx="1727200" cy="342900"/>
          <a:chOff x="56" y="259"/>
          <a:chExt cx="158" cy="40"/>
        </a:xfrm>
      </xdr:grpSpPr>
      <xdr:sp macro="" textlink="">
        <xdr:nvSpPr>
          <xdr:cNvPr id="4943135"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vertOverflow="clip" wrap="square" lIns="18288" tIns="0" rIns="0" bIns="0" anchor="t" upright="1"/>
          <a:lstStyle/>
          <a:p>
            <a:pPr algn="ctr" rtl="0">
              <a:defRPr sz="1000"/>
            </a:pPr>
            <a:endParaRPr lang="en-US"/>
          </a:p>
        </xdr:txBody>
      </xdr:sp>
      <xdr:grpSp>
        <xdr:nvGrpSpPr>
          <xdr:cNvPr id="4943486"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009457" y="2910698"/>
              <a:ext cx="3689417" cy="44621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48157" y="2910698"/>
              <a:ext cx="360620" cy="18373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4943469" name="37 Grupo">
          <a:hlinkClick xmlns:r="http://schemas.openxmlformats.org/officeDocument/2006/relationships" r:id="rId9"/>
        </xdr:cNvPr>
        <xdr:cNvGrpSpPr>
          <a:grpSpLocks/>
        </xdr:cNvGrpSpPr>
      </xdr:nvGrpSpPr>
      <xdr:grpSpPr bwMode="auto">
        <a:xfrm>
          <a:off x="685800" y="2413000"/>
          <a:ext cx="1727200" cy="368300"/>
          <a:chOff x="1343025" y="2428876"/>
          <a:chExt cx="3240982" cy="617274"/>
        </a:xfrm>
      </xdr:grpSpPr>
      <xdr:sp macro="" textlink="">
        <xdr:nvSpPr>
          <xdr:cNvPr id="4943131"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vertOverflow="clip" wrap="square" lIns="18288" tIns="0" rIns="0" bIns="0" anchor="t" upright="1"/>
          <a:lstStyle/>
          <a:p>
            <a:pPr algn="ctr" rtl="0">
              <a:defRPr sz="1000"/>
            </a:pPr>
            <a:endParaRPr lang="en-US"/>
          </a:p>
        </xdr:txBody>
      </xdr:sp>
      <xdr:grpSp>
        <xdr:nvGrpSpPr>
          <xdr:cNvPr id="4943482"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4943470" name="37 Grupo">
          <a:hlinkClick xmlns:r="http://schemas.openxmlformats.org/officeDocument/2006/relationships" r:id="rId10"/>
        </xdr:cNvPr>
        <xdr:cNvGrpSpPr>
          <a:grpSpLocks/>
        </xdr:cNvGrpSpPr>
      </xdr:nvGrpSpPr>
      <xdr:grpSpPr bwMode="auto">
        <a:xfrm>
          <a:off x="685800" y="2946400"/>
          <a:ext cx="1727200" cy="381000"/>
          <a:chOff x="1343025" y="2428876"/>
          <a:chExt cx="3240982" cy="617274"/>
        </a:xfrm>
      </xdr:grpSpPr>
      <xdr:sp macro="" textlink="">
        <xdr:nvSpPr>
          <xdr:cNvPr id="494312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vertOverflow="clip" wrap="square" lIns="18288" tIns="0" rIns="0" bIns="0" anchor="t" upright="1"/>
          <a:lstStyle/>
          <a:p>
            <a:pPr algn="ctr" rtl="0">
              <a:defRPr sz="1000"/>
            </a:pPr>
            <a:endParaRPr lang="en-US"/>
          </a:p>
        </xdr:txBody>
      </xdr:sp>
      <xdr:grpSp>
        <xdr:nvGrpSpPr>
          <xdr:cNvPr id="4943478"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139700</xdr:rowOff>
    </xdr:to>
    <xdr:pic>
      <xdr:nvPicPr>
        <xdr:cNvPr id="4943471" name="Picture 2012"/>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425450</xdr:colOff>
      <xdr:row>7</xdr:row>
      <xdr:rowOff>107950</xdr:rowOff>
    </xdr:from>
    <xdr:to>
      <xdr:col>4</xdr:col>
      <xdr:colOff>38312</xdr:colOff>
      <xdr:row>9</xdr:row>
      <xdr:rowOff>108177</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139700</xdr:rowOff>
    </xdr:to>
    <xdr:pic>
      <xdr:nvPicPr>
        <xdr:cNvPr id="4943473" name="Picture 2016"/>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688975</xdr:colOff>
      <xdr:row>7</xdr:row>
      <xdr:rowOff>107950</xdr:rowOff>
    </xdr:from>
    <xdr:to>
      <xdr:col>7</xdr:col>
      <xdr:colOff>355626</xdr:colOff>
      <xdr:row>9</xdr:row>
      <xdr:rowOff>117475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6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9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76200</xdr:rowOff>
    </xdr:from>
    <xdr:to>
      <xdr:col>11</xdr:col>
      <xdr:colOff>571500</xdr:colOff>
      <xdr:row>9</xdr:row>
      <xdr:rowOff>139700</xdr:rowOff>
    </xdr:to>
    <xdr:pic>
      <xdr:nvPicPr>
        <xdr:cNvPr id="4943475" name="Picture 2018"/>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892300"/>
          <a:ext cx="2489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79375</xdr:colOff>
      <xdr:row>7</xdr:row>
      <xdr:rowOff>107950</xdr:rowOff>
    </xdr:from>
    <xdr:to>
      <xdr:col>11</xdr:col>
      <xdr:colOff>473564</xdr:colOff>
      <xdr:row>9</xdr:row>
      <xdr:rowOff>117475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6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9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76200</xdr:rowOff>
    </xdr:to>
    <xdr:pic>
      <xdr:nvPicPr>
        <xdr:cNvPr id="9857" name="Picture 2" descr="C:\Documents and Settings\Administrator\My Documents\My Pictures\Prueba.jpg"/>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1283755</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1086806</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139700</xdr:rowOff>
    </xdr:from>
    <xdr:to>
      <xdr:col>6</xdr:col>
      <xdr:colOff>1143000</xdr:colOff>
      <xdr:row>45</xdr:row>
      <xdr:rowOff>165100</xdr:rowOff>
    </xdr:to>
    <xdr:cxnSp macro="">
      <xdr:nvCxnSpPr>
        <xdr:cNvPr id="4286666" name="AutoShape 100"/>
        <xdr:cNvCxnSpPr>
          <a:cxnSpLocks noChangeShapeType="1"/>
        </xdr:cNvCxnSpPr>
      </xdr:nvCxnSpPr>
      <xdr:spPr bwMode="auto">
        <a:xfrm rot="5400000">
          <a:off x="9493250" y="6546850"/>
          <a:ext cx="23495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46</xdr:row>
      <xdr:rowOff>114300</xdr:rowOff>
    </xdr:from>
    <xdr:to>
      <xdr:col>4</xdr:col>
      <xdr:colOff>1219200</xdr:colOff>
      <xdr:row>46</xdr:row>
      <xdr:rowOff>114300</xdr:rowOff>
    </xdr:to>
    <xdr:cxnSp macro="">
      <xdr:nvCxnSpPr>
        <xdr:cNvPr id="4286667" name="AutoShape 101"/>
        <xdr:cNvCxnSpPr>
          <a:cxnSpLocks noChangeShapeType="1"/>
        </xdr:cNvCxnSpPr>
      </xdr:nvCxnSpPr>
      <xdr:spPr bwMode="auto">
        <a:xfrm rot="10800000">
          <a:off x="6934200" y="78740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215900</xdr:colOff>
      <xdr:row>2</xdr:row>
      <xdr:rowOff>0</xdr:rowOff>
    </xdr:from>
    <xdr:to>
      <xdr:col>0</xdr:col>
      <xdr:colOff>1351881</xdr:colOff>
      <xdr:row>2</xdr:row>
      <xdr:rowOff>441549</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1275527</xdr:colOff>
      <xdr:row>1</xdr:row>
      <xdr:rowOff>76401</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442616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10394</xdr:colOff>
      <xdr:row>0</xdr:row>
      <xdr:rowOff>349603</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21</xdr:row>
      <xdr:rowOff>12700</xdr:rowOff>
    </xdr:to>
    <xdr:grpSp>
      <xdr:nvGrpSpPr>
        <xdr:cNvPr id="4426165" name="Group 489"/>
        <xdr:cNvGrpSpPr>
          <a:grpSpLocks/>
        </xdr:cNvGrpSpPr>
      </xdr:nvGrpSpPr>
      <xdr:grpSpPr bwMode="auto">
        <a:xfrm>
          <a:off x="4483100" y="2146300"/>
          <a:ext cx="3975100" cy="2235200"/>
          <a:chOff x="410" y="229"/>
          <a:chExt cx="366" cy="234"/>
        </a:xfrm>
      </xdr:grpSpPr>
      <xdr:graphicFrame macro="">
        <xdr:nvGraphicFramePr>
          <xdr:cNvPr id="4426169"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4426170" name="Picture 477" descr="on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56" y="441"/>
            <a:ext cx="297"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50800</xdr:rowOff>
    </xdr:to>
    <xdr:grpSp>
      <xdr:nvGrpSpPr>
        <xdr:cNvPr id="4426166" name="Group 490"/>
        <xdr:cNvGrpSpPr>
          <a:grpSpLocks/>
        </xdr:cNvGrpSpPr>
      </xdr:nvGrpSpPr>
      <xdr:grpSpPr bwMode="auto">
        <a:xfrm>
          <a:off x="0" y="4775200"/>
          <a:ext cx="4445000" cy="2209800"/>
          <a:chOff x="0" y="505"/>
          <a:chExt cx="407" cy="245"/>
        </a:xfrm>
      </xdr:grpSpPr>
      <xdr:graphicFrame macro="">
        <xdr:nvGraphicFramePr>
          <xdr:cNvPr id="4426167"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4426168" name="Picture 487" descr="ok"/>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6" y="708"/>
            <a:ext cx="259"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4983868"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4983869"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498387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498387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50800</xdr:rowOff>
    </xdr:from>
    <xdr:to>
      <xdr:col>5</xdr:col>
      <xdr:colOff>749300</xdr:colOff>
      <xdr:row>33</xdr:row>
      <xdr:rowOff>254000</xdr:rowOff>
    </xdr:to>
    <xdr:graphicFrame macro="">
      <xdr:nvGraphicFramePr>
        <xdr:cNvPr id="498387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616226"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616228"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616229"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889000</xdr:colOff>
      <xdr:row>20</xdr:row>
      <xdr:rowOff>0</xdr:rowOff>
    </xdr:from>
    <xdr:to>
      <xdr:col>7</xdr:col>
      <xdr:colOff>0</xdr:colOff>
      <xdr:row>20</xdr:row>
      <xdr:rowOff>0</xdr:rowOff>
    </xdr:to>
    <xdr:grpSp>
      <xdr:nvGrpSpPr>
        <xdr:cNvPr id="4409741" name="Group 47"/>
        <xdr:cNvGrpSpPr>
          <a:grpSpLocks/>
        </xdr:cNvGrpSpPr>
      </xdr:nvGrpSpPr>
      <xdr:grpSpPr bwMode="auto">
        <a:xfrm>
          <a:off x="5918200" y="5029200"/>
          <a:ext cx="101600" cy="0"/>
          <a:chOff x="698" y="540"/>
          <a:chExt cx="9" cy="9"/>
        </a:xfrm>
      </xdr:grpSpPr>
      <xdr:sp macro="" textlink="">
        <xdr:nvSpPr>
          <xdr:cNvPr id="3433393" name="Rectangle 47"/>
          <xdr:cNvSpPr>
            <a:spLocks noChangeArrowheads="1"/>
          </xdr:cNvSpPr>
        </xdr:nvSpPr>
        <xdr:spPr bwMode="auto">
          <a:xfrm rot="-5400000" flipH="1" flipV="1">
            <a:off x="-3350465346300" y="5029196"/>
            <a:ext cx="0"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1380146</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69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921850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51"/>
  </sheetPr>
  <dimension ref="B1:O22"/>
  <sheetViews>
    <sheetView showGridLines="0" showRowColHeaders="0" topLeftCell="B15" zoomScale="120" workbookViewId="0">
      <selection activeCell="N13" sqref="N13"/>
    </sheetView>
  </sheetViews>
  <sheetFormatPr baseColWidth="10" defaultColWidth="11" defaultRowHeight="15" x14ac:dyDescent="0.2"/>
  <cols>
    <col min="1" max="1" width="1.1640625" customWidth="1"/>
    <col min="2" max="10" width="11.5" customWidth="1"/>
    <col min="11" max="11" width="1.6640625" customWidth="1"/>
  </cols>
  <sheetData>
    <row r="1" spans="2:15" ht="25.5" customHeight="1" x14ac:dyDescent="0.2"/>
    <row r="2" spans="2:15" ht="37" x14ac:dyDescent="0.2">
      <c r="B2" s="519" t="str">
        <f>+'Grant Detail'!B3:J3</f>
        <v>Dashboard:  Ghana - MALARIA</v>
      </c>
      <c r="C2" s="519"/>
      <c r="D2" s="519"/>
      <c r="E2" s="519"/>
      <c r="F2" s="519"/>
      <c r="G2" s="519"/>
      <c r="H2" s="519"/>
      <c r="I2" s="519"/>
      <c r="J2" s="519"/>
      <c r="K2" s="519"/>
      <c r="L2" s="519"/>
      <c r="M2" s="1"/>
      <c r="N2" s="1"/>
      <c r="O2" s="1"/>
    </row>
    <row r="4" spans="2:15" ht="21" x14ac:dyDescent="0.25">
      <c r="B4" s="520" t="str">
        <f>+IF('Data Entry'!G6="Please Select", "",'Data Entry'!G6) &amp;"  "&amp;+IF('Data Entry'!G8="Please Select", "", 'Data Entry'!G8&amp;",  ")&amp;+IF('Data Entry'!I8="Please Select","",'Data Entry'!I8)</f>
        <v xml:space="preserve">MALARIA  </v>
      </c>
      <c r="C4" s="520"/>
      <c r="D4" s="520"/>
      <c r="E4" s="521"/>
      <c r="F4" s="233"/>
      <c r="G4" s="233"/>
      <c r="H4" s="356" t="str">
        <f>+'Data Entry'!B6&amp;" "&amp;+'Data Entry'!C6</f>
        <v>Grant No.: GHA-MOH-M</v>
      </c>
      <c r="I4" s="356"/>
      <c r="J4" s="232"/>
      <c r="K4" s="233"/>
      <c r="L4" s="233"/>
    </row>
    <row r="22" spans="2:12" ht="26" x14ac:dyDescent="0.3">
      <c r="B22" s="522" t="s">
        <v>406</v>
      </c>
      <c r="C22" s="523"/>
      <c r="D22" s="523"/>
      <c r="E22" s="523"/>
      <c r="F22" s="523"/>
      <c r="G22" s="523"/>
      <c r="H22" s="523"/>
      <c r="I22" s="523"/>
      <c r="J22" s="523"/>
      <c r="K22" s="523"/>
      <c r="L22" s="523"/>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dimension ref="B2:O144"/>
  <sheetViews>
    <sheetView showGridLines="0" topLeftCell="C1" zoomScale="80" zoomScaleNormal="80" zoomScalePageLayoutView="80" workbookViewId="0">
      <selection activeCell="G24" sqref="G24"/>
    </sheetView>
  </sheetViews>
  <sheetFormatPr baseColWidth="10" defaultColWidth="11" defaultRowHeight="15" x14ac:dyDescent="0.2"/>
  <cols>
    <col min="1" max="1" width="11.5" customWidth="1"/>
    <col min="2" max="2" width="16.1640625" customWidth="1"/>
    <col min="3" max="3" width="14.6640625" customWidth="1"/>
    <col min="4" max="4" width="15.5" customWidth="1"/>
    <col min="5" max="6" width="11.5" customWidth="1"/>
    <col min="7" max="7" width="14.5" customWidth="1"/>
    <col min="8" max="8" width="35.5" customWidth="1"/>
    <col min="9" max="9" width="45.6640625" customWidth="1"/>
    <col min="10" max="10" width="33.5" customWidth="1"/>
    <col min="11" max="12" width="11.5" customWidth="1"/>
    <col min="13" max="13" width="28.5" customWidth="1"/>
    <col min="14" max="14" width="46.5" customWidth="1"/>
  </cols>
  <sheetData>
    <row r="2" spans="2:15" ht="25.5" customHeight="1" x14ac:dyDescent="0.2"/>
    <row r="3" spans="2:15" ht="37" x14ac:dyDescent="0.2">
      <c r="B3" s="936" t="str">
        <f>'Grant Detail'!B3:J3</f>
        <v>Dashboard:  Ghana - MALARIA</v>
      </c>
      <c r="C3" s="936"/>
      <c r="D3" s="936"/>
      <c r="E3" s="936"/>
      <c r="F3" s="936"/>
      <c r="G3" s="936"/>
      <c r="H3" s="936"/>
      <c r="I3" s="1"/>
    </row>
    <row r="6" spans="2:15" ht="19" x14ac:dyDescent="0.25">
      <c r="B6" s="897" t="s">
        <v>319</v>
      </c>
      <c r="C6" s="897"/>
      <c r="D6" s="897"/>
      <c r="E6" s="897"/>
      <c r="F6" s="897"/>
      <c r="G6" s="897"/>
      <c r="H6" s="897"/>
    </row>
    <row r="8" spans="2:15" ht="19" x14ac:dyDescent="0.25">
      <c r="B8" s="62" t="s">
        <v>33</v>
      </c>
      <c r="C8" s="62" t="s">
        <v>36</v>
      </c>
      <c r="D8" s="62" t="s">
        <v>37</v>
      </c>
      <c r="E8" s="62" t="s">
        <v>42</v>
      </c>
      <c r="F8" s="62" t="s">
        <v>287</v>
      </c>
      <c r="G8" s="62" t="s">
        <v>266</v>
      </c>
      <c r="H8" s="62" t="s">
        <v>294</v>
      </c>
      <c r="I8" s="63" t="s">
        <v>88</v>
      </c>
      <c r="J8" s="63" t="s">
        <v>130</v>
      </c>
      <c r="M8" s="19"/>
      <c r="N8" s="19"/>
      <c r="O8" s="19"/>
    </row>
    <row r="9" spans="2:15" x14ac:dyDescent="0.2">
      <c r="B9" s="86" t="s">
        <v>373</v>
      </c>
      <c r="C9" s="86" t="s">
        <v>373</v>
      </c>
      <c r="D9" s="86" t="s">
        <v>373</v>
      </c>
      <c r="E9" s="86" t="s">
        <v>373</v>
      </c>
      <c r="F9" s="86" t="s">
        <v>373</v>
      </c>
      <c r="G9" s="86" t="s">
        <v>373</v>
      </c>
      <c r="H9" s="86" t="s">
        <v>373</v>
      </c>
      <c r="I9" s="430" t="s">
        <v>373</v>
      </c>
      <c r="J9" s="86" t="s">
        <v>373</v>
      </c>
      <c r="M9" s="19"/>
      <c r="N9" s="19"/>
      <c r="O9" s="19"/>
    </row>
    <row r="10" spans="2:15" x14ac:dyDescent="0.2">
      <c r="B10" s="57" t="s">
        <v>28</v>
      </c>
      <c r="C10" s="57" t="s">
        <v>19</v>
      </c>
      <c r="D10" s="57" t="s">
        <v>17</v>
      </c>
      <c r="E10" s="57" t="s">
        <v>18</v>
      </c>
      <c r="F10" s="57" t="s">
        <v>106</v>
      </c>
      <c r="G10" s="439" t="s">
        <v>44</v>
      </c>
      <c r="H10" s="60" t="s">
        <v>49</v>
      </c>
      <c r="I10" s="27" t="s">
        <v>300</v>
      </c>
      <c r="J10" s="86" t="s">
        <v>131</v>
      </c>
      <c r="M10" s="19"/>
      <c r="N10" s="19"/>
      <c r="O10" s="19"/>
    </row>
    <row r="11" spans="2:15" x14ac:dyDescent="0.2">
      <c r="B11" s="57" t="s">
        <v>34</v>
      </c>
      <c r="C11" s="57" t="s">
        <v>14</v>
      </c>
      <c r="D11" s="57" t="s">
        <v>20</v>
      </c>
      <c r="E11" s="57" t="s">
        <v>16</v>
      </c>
      <c r="F11" s="57" t="s">
        <v>107</v>
      </c>
      <c r="G11" s="439" t="s">
        <v>45</v>
      </c>
      <c r="H11" s="60" t="s">
        <v>50</v>
      </c>
      <c r="I11" s="27" t="s">
        <v>301</v>
      </c>
      <c r="J11" s="86" t="s">
        <v>132</v>
      </c>
      <c r="M11" s="19"/>
      <c r="N11" s="19"/>
      <c r="O11" s="19"/>
    </row>
    <row r="12" spans="2:15" x14ac:dyDescent="0.2">
      <c r="B12" s="57" t="s">
        <v>35</v>
      </c>
      <c r="D12" s="57" t="s">
        <v>23</v>
      </c>
      <c r="E12" s="57" t="s">
        <v>24</v>
      </c>
      <c r="F12" s="57" t="s">
        <v>108</v>
      </c>
      <c r="G12" s="439" t="s">
        <v>46</v>
      </c>
      <c r="H12" s="60" t="s">
        <v>51</v>
      </c>
      <c r="I12" s="27" t="s">
        <v>302</v>
      </c>
      <c r="J12" s="86" t="s">
        <v>133</v>
      </c>
      <c r="M12" s="199"/>
      <c r="N12" s="19"/>
      <c r="O12" s="19"/>
    </row>
    <row r="13" spans="2:15" x14ac:dyDescent="0.2">
      <c r="B13" s="57" t="s">
        <v>84</v>
      </c>
      <c r="D13" s="57" t="s">
        <v>25</v>
      </c>
      <c r="E13" s="58"/>
      <c r="F13" s="57" t="s">
        <v>109</v>
      </c>
      <c r="G13" s="439" t="s">
        <v>47</v>
      </c>
      <c r="H13" s="60" t="s">
        <v>52</v>
      </c>
      <c r="I13" s="27" t="s">
        <v>303</v>
      </c>
      <c r="J13" s="86" t="s">
        <v>134</v>
      </c>
      <c r="M13" s="199"/>
      <c r="N13" s="19"/>
      <c r="O13" s="19"/>
    </row>
    <row r="14" spans="2:15" x14ac:dyDescent="0.2">
      <c r="B14" s="57" t="s">
        <v>85</v>
      </c>
      <c r="D14" s="57" t="s">
        <v>38</v>
      </c>
      <c r="F14" s="57" t="s">
        <v>121</v>
      </c>
      <c r="G14" s="439" t="s">
        <v>48</v>
      </c>
      <c r="H14" s="60" t="s">
        <v>53</v>
      </c>
      <c r="I14" s="27" t="s">
        <v>272</v>
      </c>
      <c r="J14" s="86" t="s">
        <v>135</v>
      </c>
      <c r="M14" s="199"/>
      <c r="N14" s="19"/>
      <c r="O14" s="19"/>
    </row>
    <row r="15" spans="2:15" x14ac:dyDescent="0.2">
      <c r="D15" s="57" t="s">
        <v>39</v>
      </c>
      <c r="F15" s="57" t="s">
        <v>122</v>
      </c>
      <c r="H15" s="60" t="s">
        <v>54</v>
      </c>
      <c r="I15" s="27" t="s">
        <v>71</v>
      </c>
      <c r="J15" s="86" t="s">
        <v>136</v>
      </c>
      <c r="M15" s="199"/>
      <c r="N15" s="19"/>
      <c r="O15" s="19"/>
    </row>
    <row r="16" spans="2:15" x14ac:dyDescent="0.2">
      <c r="D16" s="57" t="s">
        <v>40</v>
      </c>
      <c r="F16" s="57" t="s">
        <v>123</v>
      </c>
      <c r="H16" s="60" t="s">
        <v>55</v>
      </c>
      <c r="I16" s="27" t="s">
        <v>72</v>
      </c>
      <c r="J16" s="86" t="s">
        <v>137</v>
      </c>
      <c r="M16" s="199"/>
      <c r="N16" s="19"/>
      <c r="O16" s="19"/>
    </row>
    <row r="17" spans="4:15" x14ac:dyDescent="0.2">
      <c r="D17" s="57" t="s">
        <v>41</v>
      </c>
      <c r="F17" s="57" t="s">
        <v>124</v>
      </c>
      <c r="H17" s="60" t="s">
        <v>56</v>
      </c>
      <c r="I17" s="27" t="s">
        <v>73</v>
      </c>
      <c r="J17" s="86" t="s">
        <v>138</v>
      </c>
      <c r="M17" s="199"/>
      <c r="N17" s="19"/>
      <c r="O17" s="19"/>
    </row>
    <row r="18" spans="4:15" x14ac:dyDescent="0.2">
      <c r="D18" s="57" t="s">
        <v>15</v>
      </c>
      <c r="F18" s="57" t="s">
        <v>125</v>
      </c>
      <c r="H18" s="60" t="s">
        <v>57</v>
      </c>
      <c r="I18" s="27" t="s">
        <v>74</v>
      </c>
      <c r="J18" s="86" t="s">
        <v>139</v>
      </c>
      <c r="M18" s="199"/>
      <c r="N18" s="19"/>
      <c r="O18" s="19"/>
    </row>
    <row r="19" spans="4:15" x14ac:dyDescent="0.2">
      <c r="D19" s="438" t="s">
        <v>369</v>
      </c>
      <c r="F19" s="57" t="s">
        <v>126</v>
      </c>
      <c r="H19" s="60" t="s">
        <v>58</v>
      </c>
      <c r="I19" s="27" t="s">
        <v>75</v>
      </c>
      <c r="J19" s="86" t="s">
        <v>140</v>
      </c>
      <c r="M19" s="199"/>
      <c r="N19" s="19"/>
      <c r="O19" s="19"/>
    </row>
    <row r="20" spans="4:15" x14ac:dyDescent="0.2">
      <c r="D20" s="59"/>
      <c r="F20" s="57" t="s">
        <v>127</v>
      </c>
      <c r="H20" s="60" t="s">
        <v>263</v>
      </c>
      <c r="I20" s="27" t="s">
        <v>76</v>
      </c>
      <c r="J20" s="86" t="s">
        <v>141</v>
      </c>
      <c r="M20" s="19"/>
      <c r="N20" s="19"/>
      <c r="O20" s="19"/>
    </row>
    <row r="21" spans="4:15" x14ac:dyDescent="0.2">
      <c r="D21" s="61"/>
      <c r="F21" s="57" t="s">
        <v>288</v>
      </c>
      <c r="H21" s="61"/>
      <c r="I21" s="27" t="s">
        <v>78</v>
      </c>
      <c r="J21" s="86" t="s">
        <v>142</v>
      </c>
      <c r="M21" s="19"/>
      <c r="N21" s="19"/>
      <c r="O21" s="19"/>
    </row>
    <row r="22" spans="4:15" x14ac:dyDescent="0.2">
      <c r="H22" s="61"/>
      <c r="I22" s="27" t="s">
        <v>79</v>
      </c>
      <c r="J22" s="86" t="s">
        <v>143</v>
      </c>
      <c r="M22" s="19"/>
      <c r="N22" s="19"/>
      <c r="O22" s="19"/>
    </row>
    <row r="23" spans="4:15" x14ac:dyDescent="0.2">
      <c r="I23" s="27" t="s">
        <v>77</v>
      </c>
      <c r="J23" s="86" t="s">
        <v>144</v>
      </c>
      <c r="M23" s="19"/>
      <c r="N23" s="19"/>
      <c r="O23" s="19"/>
    </row>
    <row r="24" spans="4:15" x14ac:dyDescent="0.2">
      <c r="I24" s="27" t="s">
        <v>310</v>
      </c>
      <c r="J24" s="86" t="s">
        <v>145</v>
      </c>
      <c r="M24" s="19"/>
      <c r="N24" s="19"/>
      <c r="O24" s="19"/>
    </row>
    <row r="25" spans="4:15" x14ac:dyDescent="0.2">
      <c r="I25" s="45"/>
      <c r="J25" s="86" t="s">
        <v>146</v>
      </c>
    </row>
    <row r="26" spans="4:15" x14ac:dyDescent="0.2">
      <c r="I26" s="27" t="s">
        <v>314</v>
      </c>
      <c r="J26" s="86" t="s">
        <v>147</v>
      </c>
    </row>
    <row r="27" spans="4:15" x14ac:dyDescent="0.2">
      <c r="I27" s="27" t="s">
        <v>309</v>
      </c>
      <c r="J27" s="86" t="s">
        <v>148</v>
      </c>
    </row>
    <row r="28" spans="4:15" x14ac:dyDescent="0.2">
      <c r="I28" s="45"/>
      <c r="J28" s="86" t="s">
        <v>149</v>
      </c>
    </row>
    <row r="29" spans="4:15" x14ac:dyDescent="0.2">
      <c r="I29" s="45"/>
      <c r="J29" s="86" t="s">
        <v>150</v>
      </c>
    </row>
    <row r="30" spans="4:15" x14ac:dyDescent="0.2">
      <c r="I30" s="45"/>
      <c r="J30" s="86" t="s">
        <v>151</v>
      </c>
    </row>
    <row r="31" spans="4:15" x14ac:dyDescent="0.2">
      <c r="J31" s="86" t="s">
        <v>152</v>
      </c>
    </row>
    <row r="32" spans="4:15" x14ac:dyDescent="0.2">
      <c r="J32" s="86" t="s">
        <v>153</v>
      </c>
    </row>
    <row r="33" spans="10:10" x14ac:dyDescent="0.2">
      <c r="J33" s="86" t="s">
        <v>154</v>
      </c>
    </row>
    <row r="34" spans="10:10" x14ac:dyDescent="0.2">
      <c r="J34" s="86" t="s">
        <v>155</v>
      </c>
    </row>
    <row r="35" spans="10:10" x14ac:dyDescent="0.2">
      <c r="J35" s="86" t="s">
        <v>156</v>
      </c>
    </row>
    <row r="36" spans="10:10" x14ac:dyDescent="0.2">
      <c r="J36" s="86" t="s">
        <v>156</v>
      </c>
    </row>
    <row r="37" spans="10:10" x14ac:dyDescent="0.2">
      <c r="J37" s="86" t="s">
        <v>157</v>
      </c>
    </row>
    <row r="38" spans="10:10" x14ac:dyDescent="0.2">
      <c r="J38" s="86" t="s">
        <v>158</v>
      </c>
    </row>
    <row r="39" spans="10:10" x14ac:dyDescent="0.2">
      <c r="J39" s="86" t="s">
        <v>159</v>
      </c>
    </row>
    <row r="40" spans="10:10" x14ac:dyDescent="0.2">
      <c r="J40" s="86" t="s">
        <v>160</v>
      </c>
    </row>
    <row r="41" spans="10:10" x14ac:dyDescent="0.2">
      <c r="J41" s="86" t="s">
        <v>161</v>
      </c>
    </row>
    <row r="42" spans="10:10" x14ac:dyDescent="0.2">
      <c r="J42" s="86" t="s">
        <v>162</v>
      </c>
    </row>
    <row r="43" spans="10:10" x14ac:dyDescent="0.2">
      <c r="J43" s="86" t="s">
        <v>163</v>
      </c>
    </row>
    <row r="44" spans="10:10" x14ac:dyDescent="0.2">
      <c r="J44" s="86" t="s">
        <v>164</v>
      </c>
    </row>
    <row r="45" spans="10:10" x14ac:dyDescent="0.2">
      <c r="J45" s="86" t="s">
        <v>165</v>
      </c>
    </row>
    <row r="46" spans="10:10" x14ac:dyDescent="0.2">
      <c r="J46" s="86" t="s">
        <v>166</v>
      </c>
    </row>
    <row r="47" spans="10:10" x14ac:dyDescent="0.2">
      <c r="J47" s="86" t="s">
        <v>167</v>
      </c>
    </row>
    <row r="48" spans="10:10" x14ac:dyDescent="0.2">
      <c r="J48" s="86" t="s">
        <v>168</v>
      </c>
    </row>
    <row r="49" spans="10:10" x14ac:dyDescent="0.2">
      <c r="J49" s="86" t="s">
        <v>169</v>
      </c>
    </row>
    <row r="50" spans="10:10" x14ac:dyDescent="0.2">
      <c r="J50" s="86" t="s">
        <v>170</v>
      </c>
    </row>
    <row r="51" spans="10:10" x14ac:dyDescent="0.2">
      <c r="J51" s="86" t="s">
        <v>171</v>
      </c>
    </row>
    <row r="52" spans="10:10" x14ac:dyDescent="0.2">
      <c r="J52" s="86" t="s">
        <v>172</v>
      </c>
    </row>
    <row r="53" spans="10:10" x14ac:dyDescent="0.2">
      <c r="J53" s="86" t="s">
        <v>173</v>
      </c>
    </row>
    <row r="54" spans="10:10" x14ac:dyDescent="0.2">
      <c r="J54" s="86" t="s">
        <v>174</v>
      </c>
    </row>
    <row r="55" spans="10:10" x14ac:dyDescent="0.2">
      <c r="J55" s="86" t="s">
        <v>175</v>
      </c>
    </row>
    <row r="56" spans="10:10" x14ac:dyDescent="0.2">
      <c r="J56" s="86" t="s">
        <v>176</v>
      </c>
    </row>
    <row r="57" spans="10:10" x14ac:dyDescent="0.2">
      <c r="J57" s="86" t="s">
        <v>177</v>
      </c>
    </row>
    <row r="58" spans="10:10" x14ac:dyDescent="0.2">
      <c r="J58" s="86" t="s">
        <v>178</v>
      </c>
    </row>
    <row r="59" spans="10:10" x14ac:dyDescent="0.2">
      <c r="J59" s="86" t="s">
        <v>179</v>
      </c>
    </row>
    <row r="60" spans="10:10" x14ac:dyDescent="0.2">
      <c r="J60" s="86" t="s">
        <v>180</v>
      </c>
    </row>
    <row r="61" spans="10:10" x14ac:dyDescent="0.2">
      <c r="J61" s="86" t="s">
        <v>181</v>
      </c>
    </row>
    <row r="62" spans="10:10" x14ac:dyDescent="0.2">
      <c r="J62" s="86" t="s">
        <v>182</v>
      </c>
    </row>
    <row r="63" spans="10:10" x14ac:dyDescent="0.2">
      <c r="J63" s="86" t="s">
        <v>183</v>
      </c>
    </row>
    <row r="64" spans="10:10" x14ac:dyDescent="0.2">
      <c r="J64" s="86" t="s">
        <v>184</v>
      </c>
    </row>
    <row r="65" spans="10:10" x14ac:dyDescent="0.2">
      <c r="J65" s="86" t="s">
        <v>185</v>
      </c>
    </row>
    <row r="66" spans="10:10" x14ac:dyDescent="0.2">
      <c r="J66" s="86" t="s">
        <v>186</v>
      </c>
    </row>
    <row r="67" spans="10:10" x14ac:dyDescent="0.2">
      <c r="J67" s="86" t="s">
        <v>187</v>
      </c>
    </row>
    <row r="68" spans="10:10" x14ac:dyDescent="0.2">
      <c r="J68" s="86" t="s">
        <v>188</v>
      </c>
    </row>
    <row r="69" spans="10:10" x14ac:dyDescent="0.2">
      <c r="J69" s="86" t="s">
        <v>189</v>
      </c>
    </row>
    <row r="70" spans="10:10" x14ac:dyDescent="0.2">
      <c r="J70" s="86" t="s">
        <v>190</v>
      </c>
    </row>
    <row r="71" spans="10:10" x14ac:dyDescent="0.2">
      <c r="J71" s="86" t="s">
        <v>191</v>
      </c>
    </row>
    <row r="72" spans="10:10" x14ac:dyDescent="0.2">
      <c r="J72" s="86" t="s">
        <v>192</v>
      </c>
    </row>
    <row r="73" spans="10:10" x14ac:dyDescent="0.2">
      <c r="J73" s="86" t="s">
        <v>193</v>
      </c>
    </row>
    <row r="74" spans="10:10" x14ac:dyDescent="0.2">
      <c r="J74" s="86" t="s">
        <v>194</v>
      </c>
    </row>
    <row r="75" spans="10:10" x14ac:dyDescent="0.2">
      <c r="J75" s="86" t="s">
        <v>195</v>
      </c>
    </row>
    <row r="76" spans="10:10" x14ac:dyDescent="0.2">
      <c r="J76" s="86" t="s">
        <v>196</v>
      </c>
    </row>
    <row r="77" spans="10:10" x14ac:dyDescent="0.2">
      <c r="J77" s="86" t="s">
        <v>197</v>
      </c>
    </row>
    <row r="78" spans="10:10" x14ac:dyDescent="0.2">
      <c r="J78" s="86" t="s">
        <v>198</v>
      </c>
    </row>
    <row r="79" spans="10:10" x14ac:dyDescent="0.2">
      <c r="J79" s="86" t="s">
        <v>199</v>
      </c>
    </row>
    <row r="80" spans="10:10" x14ac:dyDescent="0.2">
      <c r="J80" s="86" t="s">
        <v>200</v>
      </c>
    </row>
    <row r="81" spans="10:10" x14ac:dyDescent="0.2">
      <c r="J81" s="86" t="s">
        <v>201</v>
      </c>
    </row>
    <row r="82" spans="10:10" x14ac:dyDescent="0.2">
      <c r="J82" s="86" t="s">
        <v>202</v>
      </c>
    </row>
    <row r="83" spans="10:10" x14ac:dyDescent="0.2">
      <c r="J83" s="86" t="s">
        <v>203</v>
      </c>
    </row>
    <row r="84" spans="10:10" x14ac:dyDescent="0.2">
      <c r="J84" s="86" t="s">
        <v>204</v>
      </c>
    </row>
    <row r="85" spans="10:10" x14ac:dyDescent="0.2">
      <c r="J85" s="86" t="s">
        <v>205</v>
      </c>
    </row>
    <row r="86" spans="10:10" x14ac:dyDescent="0.2">
      <c r="J86" s="86" t="s">
        <v>206</v>
      </c>
    </row>
    <row r="87" spans="10:10" x14ac:dyDescent="0.2">
      <c r="J87" s="86" t="s">
        <v>207</v>
      </c>
    </row>
    <row r="88" spans="10:10" x14ac:dyDescent="0.2">
      <c r="J88" s="86" t="s">
        <v>208</v>
      </c>
    </row>
    <row r="89" spans="10:10" x14ac:dyDescent="0.2">
      <c r="J89" s="86" t="s">
        <v>209</v>
      </c>
    </row>
    <row r="90" spans="10:10" x14ac:dyDescent="0.2">
      <c r="J90" s="86" t="s">
        <v>210</v>
      </c>
    </row>
    <row r="91" spans="10:10" x14ac:dyDescent="0.2">
      <c r="J91" s="86" t="s">
        <v>211</v>
      </c>
    </row>
    <row r="92" spans="10:10" x14ac:dyDescent="0.2">
      <c r="J92" s="86" t="s">
        <v>212</v>
      </c>
    </row>
    <row r="93" spans="10:10" x14ac:dyDescent="0.2">
      <c r="J93" s="86" t="s">
        <v>213</v>
      </c>
    </row>
    <row r="94" spans="10:10" x14ac:dyDescent="0.2">
      <c r="J94" s="86" t="s">
        <v>214</v>
      </c>
    </row>
    <row r="95" spans="10:10" x14ac:dyDescent="0.2">
      <c r="J95" s="86" t="s">
        <v>215</v>
      </c>
    </row>
    <row r="96" spans="10:10" x14ac:dyDescent="0.2">
      <c r="J96" s="86" t="s">
        <v>216</v>
      </c>
    </row>
    <row r="97" spans="10:10" x14ac:dyDescent="0.2">
      <c r="J97" s="86" t="s">
        <v>217</v>
      </c>
    </row>
    <row r="98" spans="10:10" x14ac:dyDescent="0.2">
      <c r="J98" s="86" t="s">
        <v>218</v>
      </c>
    </row>
    <row r="99" spans="10:10" x14ac:dyDescent="0.2">
      <c r="J99" s="86" t="s">
        <v>219</v>
      </c>
    </row>
    <row r="100" spans="10:10" x14ac:dyDescent="0.2">
      <c r="J100" s="86" t="s">
        <v>220</v>
      </c>
    </row>
    <row r="101" spans="10:10" x14ac:dyDescent="0.2">
      <c r="J101" s="86" t="s">
        <v>221</v>
      </c>
    </row>
    <row r="102" spans="10:10" x14ac:dyDescent="0.2">
      <c r="J102" s="86" t="s">
        <v>222</v>
      </c>
    </row>
    <row r="103" spans="10:10" x14ac:dyDescent="0.2">
      <c r="J103" s="86" t="s">
        <v>223</v>
      </c>
    </row>
    <row r="104" spans="10:10" x14ac:dyDescent="0.2">
      <c r="J104" s="86" t="s">
        <v>224</v>
      </c>
    </row>
    <row r="105" spans="10:10" x14ac:dyDescent="0.2">
      <c r="J105" s="86" t="s">
        <v>225</v>
      </c>
    </row>
    <row r="106" spans="10:10" x14ac:dyDescent="0.2">
      <c r="J106" s="86" t="s">
        <v>226</v>
      </c>
    </row>
    <row r="107" spans="10:10" x14ac:dyDescent="0.2">
      <c r="J107" s="86" t="s">
        <v>227</v>
      </c>
    </row>
    <row r="108" spans="10:10" x14ac:dyDescent="0.2">
      <c r="J108" s="86" t="s">
        <v>228</v>
      </c>
    </row>
    <row r="109" spans="10:10" x14ac:dyDescent="0.2">
      <c r="J109" s="86" t="s">
        <v>229</v>
      </c>
    </row>
    <row r="110" spans="10:10" x14ac:dyDescent="0.2">
      <c r="J110" s="86" t="s">
        <v>230</v>
      </c>
    </row>
    <row r="111" spans="10:10" x14ac:dyDescent="0.2">
      <c r="J111" s="86" t="s">
        <v>81</v>
      </c>
    </row>
    <row r="112" spans="10:10" x14ac:dyDescent="0.2">
      <c r="J112" s="86" t="s">
        <v>231</v>
      </c>
    </row>
    <row r="113" spans="10:10" x14ac:dyDescent="0.2">
      <c r="J113" s="86" t="s">
        <v>232</v>
      </c>
    </row>
    <row r="114" spans="10:10" x14ac:dyDescent="0.2">
      <c r="J114" s="86" t="s">
        <v>233</v>
      </c>
    </row>
    <row r="115" spans="10:10" x14ac:dyDescent="0.2">
      <c r="J115" s="86" t="s">
        <v>234</v>
      </c>
    </row>
    <row r="116" spans="10:10" x14ac:dyDescent="0.2">
      <c r="J116" s="86" t="s">
        <v>235</v>
      </c>
    </row>
    <row r="117" spans="10:10" x14ac:dyDescent="0.2">
      <c r="J117" s="86" t="s">
        <v>236</v>
      </c>
    </row>
    <row r="118" spans="10:10" x14ac:dyDescent="0.2">
      <c r="J118" s="86" t="s">
        <v>237</v>
      </c>
    </row>
    <row r="119" spans="10:10" x14ac:dyDescent="0.2">
      <c r="J119" s="86" t="s">
        <v>238</v>
      </c>
    </row>
    <row r="120" spans="10:10" x14ac:dyDescent="0.2">
      <c r="J120" s="86" t="s">
        <v>239</v>
      </c>
    </row>
    <row r="121" spans="10:10" x14ac:dyDescent="0.2">
      <c r="J121" s="86" t="s">
        <v>240</v>
      </c>
    </row>
    <row r="122" spans="10:10" x14ac:dyDescent="0.2">
      <c r="J122" s="86" t="s">
        <v>241</v>
      </c>
    </row>
    <row r="123" spans="10:10" x14ac:dyDescent="0.2">
      <c r="J123" s="86" t="s">
        <v>242</v>
      </c>
    </row>
    <row r="124" spans="10:10" x14ac:dyDescent="0.2">
      <c r="J124" s="86" t="s">
        <v>243</v>
      </c>
    </row>
    <row r="125" spans="10:10" x14ac:dyDescent="0.2">
      <c r="J125" s="86" t="s">
        <v>244</v>
      </c>
    </row>
    <row r="126" spans="10:10" x14ac:dyDescent="0.2">
      <c r="J126" s="86" t="s">
        <v>245</v>
      </c>
    </row>
    <row r="127" spans="10:10" x14ac:dyDescent="0.2">
      <c r="J127" s="86" t="s">
        <v>246</v>
      </c>
    </row>
    <row r="128" spans="10:10" x14ac:dyDescent="0.2">
      <c r="J128" s="86" t="s">
        <v>247</v>
      </c>
    </row>
    <row r="129" spans="10:10" x14ac:dyDescent="0.2">
      <c r="J129" s="86" t="s">
        <v>248</v>
      </c>
    </row>
    <row r="130" spans="10:10" x14ac:dyDescent="0.2">
      <c r="J130" s="86" t="s">
        <v>249</v>
      </c>
    </row>
    <row r="131" spans="10:10" x14ac:dyDescent="0.2">
      <c r="J131" s="86" t="s">
        <v>250</v>
      </c>
    </row>
    <row r="132" spans="10:10" x14ac:dyDescent="0.2">
      <c r="J132" s="86" t="s">
        <v>251</v>
      </c>
    </row>
    <row r="133" spans="10:10" x14ac:dyDescent="0.2">
      <c r="J133" s="86" t="s">
        <v>252</v>
      </c>
    </row>
    <row r="134" spans="10:10" x14ac:dyDescent="0.2">
      <c r="J134" s="86" t="s">
        <v>253</v>
      </c>
    </row>
    <row r="135" spans="10:10" x14ac:dyDescent="0.2">
      <c r="J135" s="86" t="s">
        <v>254</v>
      </c>
    </row>
    <row r="136" spans="10:10" x14ac:dyDescent="0.2">
      <c r="J136" s="86" t="s">
        <v>255</v>
      </c>
    </row>
    <row r="137" spans="10:10" x14ac:dyDescent="0.2">
      <c r="J137" s="86" t="s">
        <v>256</v>
      </c>
    </row>
    <row r="138" spans="10:10" x14ac:dyDescent="0.2">
      <c r="J138" s="86" t="s">
        <v>257</v>
      </c>
    </row>
    <row r="139" spans="10:10" x14ac:dyDescent="0.2">
      <c r="J139" s="86" t="s">
        <v>258</v>
      </c>
    </row>
    <row r="140" spans="10:10" x14ac:dyDescent="0.2">
      <c r="J140" s="86" t="s">
        <v>259</v>
      </c>
    </row>
    <row r="141" spans="10:10" x14ac:dyDescent="0.2">
      <c r="J141" s="86" t="s">
        <v>260</v>
      </c>
    </row>
    <row r="142" spans="10:10" x14ac:dyDescent="0.2">
      <c r="J142" s="86" t="s">
        <v>261</v>
      </c>
    </row>
    <row r="143" spans="10:10" x14ac:dyDescent="0.2">
      <c r="J143" s="86" t="s">
        <v>262</v>
      </c>
    </row>
    <row r="144" spans="10:10" x14ac:dyDescent="0.2">
      <c r="J144" s="428"/>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5" right="0.75" top="1" bottom="1"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FFC000"/>
  </sheetPr>
  <dimension ref="A1:V53"/>
  <sheetViews>
    <sheetView showGridLines="0" topLeftCell="B1" zoomScale="80" workbookViewId="0">
      <pane ySplit="2" topLeftCell="A3" activePane="bottomLeft" state="frozen"/>
      <selection activeCell="E22" sqref="E22"/>
      <selection pane="bottomLeft" activeCell="B30" sqref="B30:O30"/>
    </sheetView>
  </sheetViews>
  <sheetFormatPr baseColWidth="10" defaultColWidth="11" defaultRowHeight="15" x14ac:dyDescent="0.2"/>
  <cols>
    <col min="1" max="1" width="2.6640625" customWidth="1"/>
    <col min="2" max="2" width="21.5" customWidth="1"/>
    <col min="3" max="3" width="11.5" customWidth="1"/>
    <col min="4" max="4" width="11.1640625" customWidth="1"/>
    <col min="5" max="5" width="16.5" customWidth="1"/>
    <col min="6" max="6" width="15.6640625" customWidth="1"/>
    <col min="7" max="7" width="38.1640625" customWidth="1"/>
    <col min="8" max="8" width="17.33203125" customWidth="1"/>
    <col min="9" max="9" width="18.5" customWidth="1"/>
    <col min="10" max="10" width="16.1640625" customWidth="1"/>
    <col min="11" max="11" width="17.83203125" customWidth="1"/>
    <col min="12" max="12" width="31.33203125" customWidth="1"/>
    <col min="13" max="13" width="49.5" customWidth="1"/>
    <col min="14" max="14" width="2.5" style="36" customWidth="1"/>
    <col min="15" max="15" width="3" style="36" customWidth="1"/>
    <col min="16" max="16" width="2.5" customWidth="1"/>
    <col min="17" max="17" width="16.1640625" customWidth="1"/>
    <col min="18" max="18" width="13.6640625" customWidth="1"/>
    <col min="19" max="19" width="11.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customWidth="1"/>
    <col min="35" max="35" width="3.33203125" customWidth="1"/>
    <col min="36" max="36" width="2.33203125" customWidth="1"/>
    <col min="37" max="37" width="40.6640625" customWidth="1"/>
    <col min="38" max="38" width="15.5" customWidth="1"/>
  </cols>
  <sheetData>
    <row r="1" spans="1:15" ht="34.5" customHeight="1" x14ac:dyDescent="0.2">
      <c r="A1" s="3"/>
      <c r="B1" s="3"/>
      <c r="C1" s="3"/>
      <c r="D1" s="3"/>
      <c r="E1" s="3"/>
      <c r="F1" s="3"/>
      <c r="G1" s="3"/>
      <c r="H1" s="3"/>
      <c r="I1" s="3"/>
      <c r="J1" s="3"/>
      <c r="K1" s="3"/>
      <c r="L1" s="3"/>
      <c r="M1" s="3"/>
    </row>
    <row r="2" spans="1:15" ht="36" customHeight="1" x14ac:dyDescent="0.2">
      <c r="A2" s="3"/>
      <c r="B2" s="537" t="str">
        <f>+"Dashboard: "&amp;" "&amp;+IF('Data Entry'!C4="Please Select","",'Data Entry'!C4&amp;" - ")&amp;+IF('Data Entry'!G6="Please Select","",'Data Entry'!G6)</f>
        <v>Dashboard:  Ghana - MALARIA</v>
      </c>
      <c r="C2" s="537"/>
      <c r="D2" s="537"/>
      <c r="E2" s="537"/>
      <c r="F2" s="537"/>
      <c r="G2" s="537"/>
      <c r="H2" s="537"/>
      <c r="I2" s="537"/>
      <c r="J2" s="537"/>
      <c r="K2" s="537"/>
      <c r="L2" s="537"/>
      <c r="M2" s="537"/>
    </row>
    <row r="3" spans="1:15" ht="15.75" customHeight="1" x14ac:dyDescent="0.2">
      <c r="A3" s="3"/>
      <c r="B3" s="224"/>
      <c r="C3" s="224"/>
      <c r="D3" s="224"/>
      <c r="E3" s="224"/>
      <c r="F3" s="224"/>
      <c r="G3" s="224"/>
      <c r="H3" s="224"/>
      <c r="I3" s="224"/>
      <c r="J3" s="224"/>
      <c r="K3" s="225"/>
      <c r="L3" s="225"/>
      <c r="M3" s="3"/>
    </row>
    <row r="5" spans="1:15" ht="24" x14ac:dyDescent="0.3">
      <c r="B5" s="538" t="s">
        <v>284</v>
      </c>
      <c r="C5" s="538"/>
      <c r="D5" s="538"/>
      <c r="E5" s="538"/>
      <c r="F5" s="538"/>
      <c r="G5" s="538"/>
      <c r="H5" s="538"/>
      <c r="I5" s="538"/>
      <c r="J5" s="538"/>
      <c r="K5" s="538"/>
      <c r="L5" s="538"/>
      <c r="M5" s="538"/>
      <c r="N5" s="538"/>
      <c r="O5" s="538"/>
    </row>
    <row r="7" spans="1:15" ht="21" x14ac:dyDescent="0.25">
      <c r="B7" s="539" t="s">
        <v>273</v>
      </c>
      <c r="C7" s="540"/>
      <c r="D7" s="541"/>
      <c r="E7" s="539" t="s">
        <v>274</v>
      </c>
      <c r="F7" s="540"/>
      <c r="G7" s="540"/>
      <c r="H7" s="540"/>
      <c r="I7" s="541"/>
      <c r="J7" s="539" t="s">
        <v>275</v>
      </c>
      <c r="K7" s="540"/>
      <c r="L7" s="541"/>
      <c r="M7" s="539" t="s">
        <v>347</v>
      </c>
      <c r="N7" s="540"/>
      <c r="O7" s="541"/>
    </row>
    <row r="8" spans="1:15" ht="92.25" customHeight="1" x14ac:dyDescent="0.2">
      <c r="B8" s="524" t="str">
        <f>+'Data Entry'!B27</f>
        <v>F1: Budget and disbursements by Global Fund</v>
      </c>
      <c r="C8" s="525"/>
      <c r="D8" s="526"/>
      <c r="E8" s="542" t="s">
        <v>394</v>
      </c>
      <c r="F8" s="543"/>
      <c r="G8" s="543"/>
      <c r="H8" s="543"/>
      <c r="I8" s="544"/>
      <c r="J8" s="530" t="s">
        <v>348</v>
      </c>
      <c r="K8" s="531"/>
      <c r="L8" s="532"/>
      <c r="M8" s="530" t="s">
        <v>395</v>
      </c>
      <c r="N8" s="531"/>
      <c r="O8" s="532"/>
    </row>
    <row r="9" spans="1:15" ht="117.75" customHeight="1" x14ac:dyDescent="0.2">
      <c r="B9" s="524" t="str">
        <f>+'Data Entry'!B36</f>
        <v>F2: Budget and actual expenditures by Grant Objective</v>
      </c>
      <c r="C9" s="525"/>
      <c r="D9" s="526"/>
      <c r="E9" s="527" t="s">
        <v>356</v>
      </c>
      <c r="F9" s="528"/>
      <c r="G9" s="528"/>
      <c r="H9" s="528"/>
      <c r="I9" s="529"/>
      <c r="J9" s="530" t="s">
        <v>350</v>
      </c>
      <c r="K9" s="531"/>
      <c r="L9" s="532"/>
      <c r="M9" s="530" t="s">
        <v>395</v>
      </c>
      <c r="N9" s="531"/>
      <c r="O9" s="532"/>
    </row>
    <row r="10" spans="1:15" ht="152.25" customHeight="1" x14ac:dyDescent="0.2">
      <c r="B10" s="545" t="str">
        <f>+'Data Entry'!B49</f>
        <v>F3: Disbursements and expenditures</v>
      </c>
      <c r="C10" s="548"/>
      <c r="D10" s="549"/>
      <c r="E10" s="527" t="s">
        <v>396</v>
      </c>
      <c r="F10" s="528"/>
      <c r="G10" s="528"/>
      <c r="H10" s="528"/>
      <c r="I10" s="529"/>
      <c r="J10" s="530" t="s">
        <v>357</v>
      </c>
      <c r="K10" s="531"/>
      <c r="L10" s="532"/>
      <c r="M10" s="530" t="s">
        <v>349</v>
      </c>
      <c r="N10" s="531"/>
      <c r="O10" s="532"/>
    </row>
    <row r="11" spans="1:15" ht="279.75" customHeight="1" x14ac:dyDescent="0.2">
      <c r="B11" s="545" t="str">
        <f>+'Data Entry'!B58</f>
        <v>F4: Latest PR reporting and disbursement cycle</v>
      </c>
      <c r="C11" s="546"/>
      <c r="D11" s="547"/>
      <c r="E11" s="527" t="s">
        <v>407</v>
      </c>
      <c r="F11" s="528"/>
      <c r="G11" s="528"/>
      <c r="H11" s="528"/>
      <c r="I11" s="529"/>
      <c r="J11" s="530" t="s">
        <v>358</v>
      </c>
      <c r="K11" s="531"/>
      <c r="L11" s="532"/>
      <c r="M11" s="530" t="s">
        <v>278</v>
      </c>
      <c r="N11" s="531"/>
      <c r="O11" s="532"/>
    </row>
    <row r="12" spans="1:15" s="19" customFormat="1" x14ac:dyDescent="0.2">
      <c r="B12" s="533"/>
      <c r="C12" s="533"/>
      <c r="D12" s="533"/>
      <c r="E12" s="534"/>
      <c r="F12" s="534"/>
      <c r="G12" s="534"/>
      <c r="H12" s="534"/>
      <c r="I12" s="534"/>
      <c r="J12" s="534"/>
      <c r="K12" s="534"/>
      <c r="L12" s="534"/>
      <c r="M12" s="534"/>
      <c r="N12" s="534"/>
      <c r="O12" s="534"/>
    </row>
    <row r="13" spans="1:15" s="19" customFormat="1" x14ac:dyDescent="0.2">
      <c r="B13" s="554"/>
      <c r="C13" s="554"/>
      <c r="D13" s="554"/>
      <c r="E13" s="550"/>
      <c r="F13" s="550"/>
      <c r="G13" s="550"/>
      <c r="H13" s="550"/>
      <c r="I13" s="550"/>
      <c r="J13" s="550"/>
      <c r="K13" s="550"/>
      <c r="L13" s="550"/>
      <c r="M13" s="550"/>
      <c r="N13" s="550"/>
      <c r="O13" s="550"/>
    </row>
    <row r="14" spans="1:15" s="19" customFormat="1" x14ac:dyDescent="0.2">
      <c r="B14" s="554"/>
      <c r="C14" s="554"/>
      <c r="D14" s="554"/>
      <c r="E14" s="550"/>
      <c r="F14" s="550"/>
      <c r="G14" s="550"/>
      <c r="H14" s="550"/>
      <c r="I14" s="550"/>
      <c r="J14" s="550"/>
      <c r="K14" s="550"/>
      <c r="L14" s="550"/>
      <c r="M14" s="550"/>
      <c r="N14" s="550"/>
      <c r="O14" s="550"/>
    </row>
    <row r="15" spans="1:15" s="19" customFormat="1" x14ac:dyDescent="0.2">
      <c r="B15" s="554"/>
      <c r="C15" s="554"/>
      <c r="D15" s="554"/>
      <c r="E15" s="550"/>
      <c r="F15" s="550"/>
      <c r="G15" s="550"/>
      <c r="H15" s="550"/>
      <c r="I15" s="550"/>
      <c r="J15" s="550"/>
      <c r="K15" s="550"/>
      <c r="L15" s="550"/>
      <c r="M15" s="550"/>
      <c r="N15" s="550"/>
      <c r="O15" s="550"/>
    </row>
    <row r="16" spans="1:15" ht="24" x14ac:dyDescent="0.3">
      <c r="B16" s="538" t="s">
        <v>285</v>
      </c>
      <c r="C16" s="538"/>
      <c r="D16" s="538"/>
      <c r="E16" s="538"/>
      <c r="F16" s="538"/>
      <c r="G16" s="538"/>
      <c r="H16" s="538"/>
      <c r="I16" s="538"/>
      <c r="J16" s="538"/>
      <c r="K16" s="538"/>
      <c r="L16" s="538"/>
      <c r="M16" s="538"/>
      <c r="N16" s="538"/>
      <c r="O16" s="538"/>
    </row>
    <row r="18" spans="1:15" ht="21" x14ac:dyDescent="0.25">
      <c r="B18" s="551" t="s">
        <v>273</v>
      </c>
      <c r="C18" s="552"/>
      <c r="D18" s="553"/>
      <c r="E18" s="551" t="s">
        <v>274</v>
      </c>
      <c r="F18" s="552"/>
      <c r="G18" s="552"/>
      <c r="H18" s="552"/>
      <c r="I18" s="553"/>
      <c r="J18" s="551" t="s">
        <v>275</v>
      </c>
      <c r="K18" s="552"/>
      <c r="L18" s="553"/>
      <c r="M18" s="551" t="s">
        <v>276</v>
      </c>
      <c r="N18" s="552"/>
      <c r="O18" s="553"/>
    </row>
    <row r="19" spans="1:15" ht="114" customHeight="1" x14ac:dyDescent="0.2">
      <c r="B19" s="524" t="str">
        <f>+'Data Entry'!B69</f>
        <v>M1: Status of Conditions Precedent (CPs) and Time Bound Actions (TBAs)</v>
      </c>
      <c r="C19" s="535"/>
      <c r="D19" s="536"/>
      <c r="E19" s="527" t="s">
        <v>283</v>
      </c>
      <c r="F19" s="528"/>
      <c r="G19" s="528"/>
      <c r="H19" s="528"/>
      <c r="I19" s="529"/>
      <c r="J19" s="530" t="s">
        <v>351</v>
      </c>
      <c r="K19" s="531"/>
      <c r="L19" s="532"/>
      <c r="M19" s="530" t="s">
        <v>352</v>
      </c>
      <c r="N19" s="531"/>
      <c r="O19" s="532"/>
    </row>
    <row r="20" spans="1:15" ht="102.75" customHeight="1" x14ac:dyDescent="0.2">
      <c r="B20" s="524" t="str">
        <f>+'Data Entry'!B76</f>
        <v>M2: Status of key PR management positions</v>
      </c>
      <c r="C20" s="535"/>
      <c r="D20" s="536"/>
      <c r="E20" s="527" t="s">
        <v>397</v>
      </c>
      <c r="F20" s="528"/>
      <c r="G20" s="528"/>
      <c r="H20" s="528"/>
      <c r="I20" s="529"/>
      <c r="J20" s="530" t="s">
        <v>280</v>
      </c>
      <c r="K20" s="531"/>
      <c r="L20" s="532"/>
      <c r="M20" s="530" t="s">
        <v>279</v>
      </c>
      <c r="N20" s="531"/>
      <c r="O20" s="532"/>
    </row>
    <row r="21" spans="1:15" ht="111.75" customHeight="1" x14ac:dyDescent="0.2">
      <c r="B21" s="524" t="str">
        <f>+'Data Entry'!B81</f>
        <v xml:space="preserve">M3: Contractual arrangements (SRs) </v>
      </c>
      <c r="C21" s="535"/>
      <c r="D21" s="536"/>
      <c r="E21" s="605" t="s">
        <v>0</v>
      </c>
      <c r="F21" s="528"/>
      <c r="G21" s="528"/>
      <c r="H21" s="528"/>
      <c r="I21" s="529"/>
      <c r="J21" s="530" t="s">
        <v>353</v>
      </c>
      <c r="K21" s="531"/>
      <c r="L21" s="532"/>
      <c r="M21" s="530" t="s">
        <v>354</v>
      </c>
      <c r="N21" s="531"/>
      <c r="O21" s="532"/>
    </row>
    <row r="22" spans="1:15" ht="74.25" customHeight="1" x14ac:dyDescent="0.2">
      <c r="B22" s="524" t="str">
        <f>+'Data Entry'!B86</f>
        <v>M4: Number of complete reports received on time</v>
      </c>
      <c r="C22" s="535"/>
      <c r="D22" s="536"/>
      <c r="E22" s="605" t="s">
        <v>408</v>
      </c>
      <c r="F22" s="612"/>
      <c r="G22" s="612"/>
      <c r="H22" s="612"/>
      <c r="I22" s="613"/>
      <c r="J22" s="530" t="s">
        <v>359</v>
      </c>
      <c r="K22" s="531"/>
      <c r="L22" s="532"/>
      <c r="M22" s="530" t="s">
        <v>281</v>
      </c>
      <c r="N22" s="531"/>
      <c r="O22" s="532"/>
    </row>
    <row r="23" spans="1:15" ht="207.75" customHeight="1" x14ac:dyDescent="0.2">
      <c r="B23" s="606" t="str">
        <f>+'Data Entry'!B92</f>
        <v>M5: Budget and Procurement of health products, health equipment, medicines and pharmaceuticals</v>
      </c>
      <c r="C23" s="607"/>
      <c r="D23" s="608"/>
      <c r="E23" s="582" t="s">
        <v>360</v>
      </c>
      <c r="F23" s="583"/>
      <c r="G23" s="583"/>
      <c r="H23" s="583"/>
      <c r="I23" s="584"/>
      <c r="J23" s="576" t="s">
        <v>277</v>
      </c>
      <c r="K23" s="577"/>
      <c r="L23" s="578"/>
      <c r="M23" s="576" t="s">
        <v>282</v>
      </c>
      <c r="N23" s="577"/>
      <c r="O23" s="578"/>
    </row>
    <row r="24" spans="1:15" ht="114.75" customHeight="1" x14ac:dyDescent="0.2">
      <c r="B24" s="609"/>
      <c r="C24" s="610"/>
      <c r="D24" s="611"/>
      <c r="E24" s="585" t="s">
        <v>355</v>
      </c>
      <c r="F24" s="586"/>
      <c r="G24" s="586"/>
      <c r="H24" s="586"/>
      <c r="I24" s="587"/>
      <c r="J24" s="579"/>
      <c r="K24" s="580"/>
      <c r="L24" s="581"/>
      <c r="M24" s="579"/>
      <c r="N24" s="580"/>
      <c r="O24" s="581"/>
    </row>
    <row r="25" spans="1:15" ht="409.5" customHeight="1" x14ac:dyDescent="0.2">
      <c r="B25" s="524" t="str">
        <f>+'Data Entry'!B105</f>
        <v>M6: Difference between current and safety stock</v>
      </c>
      <c r="C25" s="535"/>
      <c r="D25" s="536"/>
      <c r="E25" s="593" t="s">
        <v>409</v>
      </c>
      <c r="F25" s="594"/>
      <c r="G25" s="594"/>
      <c r="H25" s="594"/>
      <c r="I25" s="595"/>
      <c r="J25" s="599" t="s">
        <v>361</v>
      </c>
      <c r="K25" s="600"/>
      <c r="L25" s="601"/>
      <c r="M25" s="596" t="s">
        <v>366</v>
      </c>
      <c r="N25" s="597"/>
      <c r="O25" s="598"/>
    </row>
    <row r="29" spans="1:15" ht="19" x14ac:dyDescent="0.25">
      <c r="B29" s="259"/>
    </row>
    <row r="30" spans="1:15" ht="24" x14ac:dyDescent="0.3">
      <c r="B30" s="538" t="s">
        <v>298</v>
      </c>
      <c r="C30" s="538"/>
      <c r="D30" s="538"/>
      <c r="E30" s="538"/>
      <c r="F30" s="538"/>
      <c r="G30" s="538"/>
      <c r="H30" s="538"/>
      <c r="I30" s="538"/>
      <c r="J30" s="538"/>
      <c r="K30" s="538"/>
      <c r="L30" s="538"/>
      <c r="M30" s="538"/>
      <c r="N30" s="538"/>
      <c r="O30" s="538"/>
    </row>
    <row r="32" spans="1:15" ht="28.5" customHeight="1" x14ac:dyDescent="0.2">
      <c r="A32" s="250"/>
      <c r="B32" s="558" t="s">
        <v>345</v>
      </c>
      <c r="C32" s="559"/>
      <c r="D32" s="560"/>
      <c r="E32" s="561" t="s">
        <v>447</v>
      </c>
      <c r="F32" s="562"/>
      <c r="G32" s="562"/>
      <c r="H32" s="562"/>
      <c r="I32" s="563"/>
      <c r="J32" s="561" t="s">
        <v>275</v>
      </c>
      <c r="K32" s="562"/>
      <c r="L32" s="563"/>
      <c r="M32" s="561" t="s">
        <v>276</v>
      </c>
      <c r="N32" s="562"/>
      <c r="O32" s="563"/>
    </row>
    <row r="33" spans="1:15" ht="148.5" customHeight="1" x14ac:dyDescent="0.2">
      <c r="A33" s="251"/>
      <c r="B33" s="602" t="s">
        <v>414</v>
      </c>
      <c r="C33" s="603"/>
      <c r="D33" s="604"/>
      <c r="E33" s="573" t="s">
        <v>438</v>
      </c>
      <c r="F33" s="588"/>
      <c r="G33" s="588"/>
      <c r="H33" s="588"/>
      <c r="I33" s="589"/>
      <c r="J33" s="573" t="s">
        <v>439</v>
      </c>
      <c r="K33" s="574"/>
      <c r="L33" s="575"/>
      <c r="M33" s="573" t="s">
        <v>440</v>
      </c>
      <c r="N33" s="574"/>
      <c r="O33" s="575"/>
    </row>
    <row r="34" spans="1:15" ht="63" customHeight="1" x14ac:dyDescent="0.2">
      <c r="A34" s="251"/>
      <c r="B34" s="602" t="s">
        <v>415</v>
      </c>
      <c r="C34" s="603"/>
      <c r="D34" s="604"/>
      <c r="E34" s="590" t="s">
        <v>441</v>
      </c>
      <c r="F34" s="591"/>
      <c r="G34" s="591"/>
      <c r="H34" s="591"/>
      <c r="I34" s="592"/>
      <c r="J34" s="573" t="s">
        <v>442</v>
      </c>
      <c r="K34" s="574"/>
      <c r="L34" s="575"/>
      <c r="M34" s="573" t="s">
        <v>440</v>
      </c>
      <c r="N34" s="574"/>
      <c r="O34" s="575"/>
    </row>
    <row r="35" spans="1:15" ht="57.75" customHeight="1" x14ac:dyDescent="0.2">
      <c r="A35" s="251"/>
      <c r="B35" s="602" t="s">
        <v>416</v>
      </c>
      <c r="C35" s="603"/>
      <c r="D35" s="604"/>
      <c r="E35" s="573" t="s">
        <v>443</v>
      </c>
      <c r="F35" s="574"/>
      <c r="G35" s="574"/>
      <c r="H35" s="574"/>
      <c r="I35" s="575"/>
      <c r="J35" s="573" t="s">
        <v>443</v>
      </c>
      <c r="K35" s="574"/>
      <c r="L35" s="575"/>
      <c r="M35" s="573" t="s">
        <v>446</v>
      </c>
      <c r="N35" s="574"/>
      <c r="O35" s="575"/>
    </row>
    <row r="36" spans="1:15" ht="9.75" customHeight="1" x14ac:dyDescent="0.2">
      <c r="A36" s="251"/>
      <c r="B36" s="614"/>
      <c r="C36" s="615"/>
      <c r="D36" s="616"/>
      <c r="E36" s="252"/>
      <c r="F36" s="253"/>
      <c r="G36" s="253"/>
      <c r="H36" s="253"/>
      <c r="I36" s="254"/>
      <c r="J36" s="272"/>
      <c r="K36" s="273"/>
      <c r="L36" s="274"/>
      <c r="M36" s="272"/>
      <c r="N36" s="273"/>
      <c r="O36" s="274"/>
    </row>
    <row r="37" spans="1:15" ht="46.5" customHeight="1" x14ac:dyDescent="0.2">
      <c r="A37" s="251"/>
      <c r="B37" s="602" t="s">
        <v>417</v>
      </c>
      <c r="C37" s="603"/>
      <c r="D37" s="604"/>
      <c r="E37" s="573" t="s">
        <v>444</v>
      </c>
      <c r="F37" s="588"/>
      <c r="G37" s="588"/>
      <c r="H37" s="588"/>
      <c r="I37" s="589"/>
      <c r="J37" s="573" t="s">
        <v>445</v>
      </c>
      <c r="K37" s="574"/>
      <c r="L37" s="575"/>
      <c r="M37" s="267" t="s">
        <v>446</v>
      </c>
      <c r="N37" s="268"/>
      <c r="O37" s="269"/>
    </row>
    <row r="38" spans="1:15" ht="69" customHeight="1" x14ac:dyDescent="0.2">
      <c r="A38" s="251"/>
      <c r="B38" s="602" t="s">
        <v>418</v>
      </c>
      <c r="C38" s="603"/>
      <c r="D38" s="604"/>
      <c r="E38" s="573" t="s">
        <v>448</v>
      </c>
      <c r="F38" s="588"/>
      <c r="G38" s="588"/>
      <c r="H38" s="588"/>
      <c r="I38" s="589"/>
      <c r="J38" s="573" t="s">
        <v>449</v>
      </c>
      <c r="K38" s="574"/>
      <c r="L38" s="575"/>
      <c r="M38" s="573" t="s">
        <v>440</v>
      </c>
      <c r="N38" s="574"/>
      <c r="O38" s="575"/>
    </row>
    <row r="39" spans="1:15" ht="75" customHeight="1" x14ac:dyDescent="0.2">
      <c r="A39" s="251"/>
      <c r="B39" s="602" t="s">
        <v>419</v>
      </c>
      <c r="C39" s="603"/>
      <c r="D39" s="604"/>
      <c r="E39" s="573" t="s">
        <v>450</v>
      </c>
      <c r="F39" s="574"/>
      <c r="G39" s="574"/>
      <c r="H39" s="574"/>
      <c r="I39" s="575"/>
      <c r="J39" s="573" t="s">
        <v>451</v>
      </c>
      <c r="K39" s="574"/>
      <c r="L39" s="575"/>
      <c r="M39" s="573" t="s">
        <v>440</v>
      </c>
      <c r="N39" s="574"/>
      <c r="O39" s="575"/>
    </row>
    <row r="40" spans="1:15" ht="81" customHeight="1" x14ac:dyDescent="0.2">
      <c r="A40" s="251"/>
      <c r="B40" s="623" t="s">
        <v>420</v>
      </c>
      <c r="C40" s="624"/>
      <c r="D40" s="625"/>
      <c r="E40" s="620" t="s">
        <v>452</v>
      </c>
      <c r="F40" s="621"/>
      <c r="G40" s="621"/>
      <c r="H40" s="621"/>
      <c r="I40" s="622"/>
      <c r="J40" s="573" t="s">
        <v>453</v>
      </c>
      <c r="K40" s="574"/>
      <c r="L40" s="575"/>
      <c r="M40" s="573" t="s">
        <v>440</v>
      </c>
      <c r="N40" s="574"/>
      <c r="O40" s="575"/>
    </row>
    <row r="41" spans="1:15" ht="62.25" customHeight="1" x14ac:dyDescent="0.2">
      <c r="A41" s="251"/>
      <c r="B41" s="617" t="s">
        <v>421</v>
      </c>
      <c r="C41" s="618"/>
      <c r="D41" s="619"/>
      <c r="E41" s="590" t="s">
        <v>437</v>
      </c>
      <c r="F41" s="591"/>
      <c r="G41" s="591"/>
      <c r="H41" s="591"/>
      <c r="I41" s="592"/>
      <c r="J41" s="573" t="s">
        <v>454</v>
      </c>
      <c r="K41" s="574"/>
      <c r="L41" s="575"/>
      <c r="M41" s="573" t="s">
        <v>440</v>
      </c>
      <c r="N41" s="574"/>
      <c r="O41" s="575"/>
    </row>
    <row r="42" spans="1:15" ht="84" customHeight="1" x14ac:dyDescent="0.2">
      <c r="A42" s="251"/>
      <c r="B42" s="617"/>
      <c r="C42" s="618"/>
      <c r="D42" s="619"/>
      <c r="E42" s="573"/>
      <c r="F42" s="574"/>
      <c r="G42" s="574"/>
      <c r="H42" s="574"/>
      <c r="I42" s="575"/>
      <c r="J42" s="267"/>
      <c r="K42" s="268"/>
      <c r="L42" s="269"/>
      <c r="M42" s="267"/>
      <c r="N42" s="268"/>
      <c r="O42" s="269"/>
    </row>
    <row r="43" spans="1:15" ht="45" customHeight="1" x14ac:dyDescent="0.2">
      <c r="A43" s="251"/>
      <c r="B43" s="617"/>
      <c r="C43" s="618"/>
      <c r="D43" s="619"/>
      <c r="E43" s="590"/>
      <c r="F43" s="591"/>
      <c r="G43" s="591"/>
      <c r="H43" s="591"/>
      <c r="I43" s="592"/>
      <c r="J43" s="573"/>
      <c r="K43" s="574"/>
      <c r="L43" s="575"/>
      <c r="M43" s="267"/>
      <c r="N43" s="268"/>
      <c r="O43" s="269"/>
    </row>
    <row r="44" spans="1:15" ht="64.5" customHeight="1" x14ac:dyDescent="0.2">
      <c r="A44" s="251"/>
      <c r="B44" s="623"/>
      <c r="C44" s="624"/>
      <c r="D44" s="625"/>
      <c r="E44" s="590"/>
      <c r="F44" s="591"/>
      <c r="G44" s="591"/>
      <c r="H44" s="591"/>
      <c r="I44" s="592"/>
      <c r="J44" s="573"/>
      <c r="K44" s="574"/>
      <c r="L44" s="575"/>
      <c r="M44" s="267"/>
      <c r="N44" s="268"/>
      <c r="O44" s="269"/>
    </row>
    <row r="45" spans="1:15" ht="49.5" customHeight="1" x14ac:dyDescent="0.2">
      <c r="B45" s="623"/>
      <c r="C45" s="624"/>
      <c r="D45" s="625"/>
      <c r="E45" s="590"/>
      <c r="F45" s="591"/>
      <c r="G45" s="591"/>
      <c r="H45" s="591"/>
      <c r="I45" s="592"/>
      <c r="J45" s="573"/>
      <c r="K45" s="574"/>
      <c r="L45" s="575"/>
      <c r="M45" s="267"/>
      <c r="N45" s="268"/>
      <c r="O45" s="269"/>
    </row>
    <row r="46" spans="1:15" ht="30" customHeight="1" x14ac:dyDescent="0.2">
      <c r="B46" s="626"/>
      <c r="C46" s="627"/>
      <c r="D46" s="628"/>
      <c r="E46" s="255"/>
      <c r="F46" s="256"/>
      <c r="G46" s="256"/>
      <c r="H46" s="256"/>
      <c r="I46" s="257"/>
      <c r="J46" s="267"/>
      <c r="K46" s="268"/>
      <c r="L46" s="269"/>
      <c r="M46" s="267"/>
      <c r="N46" s="268"/>
      <c r="O46" s="269"/>
    </row>
    <row r="47" spans="1:15" ht="44.25" customHeight="1" x14ac:dyDescent="0.2">
      <c r="B47" s="567" t="s">
        <v>299</v>
      </c>
      <c r="C47" s="568"/>
      <c r="D47" s="569"/>
      <c r="E47" s="570" t="s">
        <v>274</v>
      </c>
      <c r="F47" s="571"/>
      <c r="G47" s="571"/>
      <c r="H47" s="571"/>
      <c r="I47" s="572"/>
      <c r="J47" s="570" t="s">
        <v>275</v>
      </c>
      <c r="K47" s="571"/>
      <c r="L47" s="572"/>
      <c r="M47" s="570" t="s">
        <v>276</v>
      </c>
      <c r="N47" s="571"/>
      <c r="O47" s="572"/>
    </row>
    <row r="48" spans="1:15" ht="33.75" customHeight="1" x14ac:dyDescent="0.2">
      <c r="B48" s="246"/>
      <c r="C48" s="247"/>
      <c r="D48" s="247"/>
      <c r="E48" s="240"/>
      <c r="F48" s="242"/>
      <c r="G48" s="242"/>
      <c r="H48" s="242"/>
      <c r="I48" s="242"/>
      <c r="J48" s="240"/>
      <c r="K48" s="240"/>
      <c r="L48" s="241"/>
      <c r="M48" s="239"/>
      <c r="N48" s="240"/>
      <c r="O48" s="241"/>
    </row>
    <row r="49" spans="2:15" ht="15.75" customHeight="1" x14ac:dyDescent="0.2">
      <c r="B49" s="564" t="s">
        <v>296</v>
      </c>
      <c r="C49" s="565"/>
      <c r="D49" s="565"/>
      <c r="E49" s="565"/>
      <c r="F49" s="565"/>
      <c r="G49" s="565"/>
      <c r="H49" s="565"/>
      <c r="I49" s="565"/>
      <c r="J49" s="565"/>
      <c r="K49" s="565"/>
      <c r="L49" s="566"/>
      <c r="M49" s="555" t="s">
        <v>286</v>
      </c>
      <c r="N49" s="556"/>
      <c r="O49" s="557"/>
    </row>
    <row r="50" spans="2:15" x14ac:dyDescent="0.2">
      <c r="D50" s="226"/>
    </row>
    <row r="52" spans="2:15" x14ac:dyDescent="0.2">
      <c r="D52" s="226"/>
    </row>
    <row r="53" spans="2:15" x14ac:dyDescent="0.2">
      <c r="D53" s="226"/>
    </row>
  </sheetData>
  <mergeCells count="123">
    <mergeCell ref="J43:L43"/>
    <mergeCell ref="J44:L44"/>
    <mergeCell ref="J45:L45"/>
    <mergeCell ref="E44:I44"/>
    <mergeCell ref="B44:D44"/>
    <mergeCell ref="B45:D45"/>
    <mergeCell ref="E45:I45"/>
    <mergeCell ref="B43:D43"/>
    <mergeCell ref="M20:O20"/>
    <mergeCell ref="J21:L21"/>
    <mergeCell ref="M21:O21"/>
    <mergeCell ref="M22:O22"/>
    <mergeCell ref="B39:D39"/>
    <mergeCell ref="M38:O38"/>
    <mergeCell ref="E39:I39"/>
    <mergeCell ref="B37:D37"/>
    <mergeCell ref="J39:L39"/>
    <mergeCell ref="M39:O39"/>
    <mergeCell ref="B35:D35"/>
    <mergeCell ref="J35:L35"/>
    <mergeCell ref="B38:D38"/>
    <mergeCell ref="E38:I38"/>
    <mergeCell ref="J38:L38"/>
    <mergeCell ref="B36:D36"/>
    <mergeCell ref="E37:I37"/>
    <mergeCell ref="E35:I35"/>
    <mergeCell ref="J37:L37"/>
    <mergeCell ref="B25:D25"/>
    <mergeCell ref="B33:D33"/>
    <mergeCell ref="B34:D34"/>
    <mergeCell ref="J33:L33"/>
    <mergeCell ref="J34:L34"/>
    <mergeCell ref="B20:D20"/>
    <mergeCell ref="E20:I20"/>
    <mergeCell ref="B21:D21"/>
    <mergeCell ref="E21:I21"/>
    <mergeCell ref="B22:D22"/>
    <mergeCell ref="B23:D24"/>
    <mergeCell ref="E22:I22"/>
    <mergeCell ref="J22:L22"/>
    <mergeCell ref="J20:L20"/>
    <mergeCell ref="M23:O24"/>
    <mergeCell ref="E23:I23"/>
    <mergeCell ref="E24:I24"/>
    <mergeCell ref="E33:I33"/>
    <mergeCell ref="E34:I34"/>
    <mergeCell ref="E25:I25"/>
    <mergeCell ref="M25:O25"/>
    <mergeCell ref="J25:L25"/>
    <mergeCell ref="J23:L24"/>
    <mergeCell ref="M33:O33"/>
    <mergeCell ref="M34:O34"/>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B40:D40"/>
    <mergeCell ref="E41:I41"/>
    <mergeCell ref="J40:L40"/>
    <mergeCell ref="M40:O40"/>
    <mergeCell ref="B46:D46"/>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M19:O19"/>
    <mergeCell ref="M15:O15"/>
    <mergeCell ref="M13:O13"/>
    <mergeCell ref="M18:O18"/>
    <mergeCell ref="J14:L14"/>
    <mergeCell ref="E15:I15"/>
    <mergeCell ref="E19:I19"/>
    <mergeCell ref="B9:D9"/>
    <mergeCell ref="E9:I9"/>
    <mergeCell ref="J9:L9"/>
    <mergeCell ref="E11:I11"/>
    <mergeCell ref="B12:D12"/>
    <mergeCell ref="J11:L11"/>
    <mergeCell ref="M11:O11"/>
    <mergeCell ref="J12:L12"/>
    <mergeCell ref="M12:O12"/>
    <mergeCell ref="E12:I1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rgb="FFFFC000"/>
  </sheetPr>
  <dimension ref="A1:AJ152"/>
  <sheetViews>
    <sheetView showGridLines="0" tabSelected="1" topLeftCell="B33" workbookViewId="0">
      <selection activeCell="F54" sqref="F54"/>
    </sheetView>
  </sheetViews>
  <sheetFormatPr baseColWidth="10" defaultColWidth="11" defaultRowHeight="15" x14ac:dyDescent="0.2"/>
  <cols>
    <col min="1" max="1" width="2.6640625" customWidth="1"/>
    <col min="2" max="2" width="46.1640625" customWidth="1"/>
    <col min="3" max="3" width="23" customWidth="1"/>
    <col min="4" max="4" width="19.1640625" customWidth="1"/>
    <col min="5" max="5" width="16.5" customWidth="1"/>
    <col min="6" max="6" width="17.5" customWidth="1"/>
    <col min="7" max="7" width="16.5" customWidth="1"/>
    <col min="8" max="8" width="17.5" customWidth="1"/>
    <col min="9" max="9" width="16.33203125" customWidth="1"/>
    <col min="10" max="10" width="16.83203125" customWidth="1"/>
    <col min="11" max="11" width="16" customWidth="1"/>
    <col min="12" max="12" width="15.33203125" customWidth="1"/>
    <col min="13" max="13" width="15.5" customWidth="1"/>
    <col min="14" max="14" width="14.33203125" style="36" customWidth="1"/>
    <col min="15" max="15" width="15.5" style="36" customWidth="1"/>
    <col min="16" max="16" width="19.5" customWidth="1"/>
    <col min="17" max="17" width="16.1640625" customWidth="1"/>
    <col min="18" max="18" width="13.6640625" customWidth="1"/>
    <col min="19" max="19" width="13.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style="36" customWidth="1"/>
    <col min="35" max="35" width="3.33203125" style="36" customWidth="1"/>
    <col min="36" max="36" width="2.33203125" style="36" customWidth="1"/>
    <col min="37" max="37" width="40.6640625" customWidth="1"/>
    <col min="38" max="38" width="15.5" customWidth="1"/>
  </cols>
  <sheetData>
    <row r="1" spans="1:13" ht="29.25" customHeight="1" x14ac:dyDescent="0.2">
      <c r="A1" s="3"/>
      <c r="B1" s="3"/>
      <c r="C1" s="3"/>
      <c r="D1" s="3"/>
      <c r="E1" s="3"/>
      <c r="F1" s="3"/>
      <c r="G1" s="3"/>
      <c r="H1" s="3"/>
      <c r="I1" s="3"/>
      <c r="J1" s="3"/>
      <c r="K1" s="3"/>
      <c r="L1" s="3"/>
      <c r="M1" s="3"/>
    </row>
    <row r="2" spans="1:13" ht="15.75" customHeight="1" x14ac:dyDescent="0.2">
      <c r="A2" s="3"/>
      <c r="B2" s="686" t="s">
        <v>374</v>
      </c>
      <c r="C2" s="686"/>
      <c r="D2" s="686"/>
      <c r="E2" s="686"/>
      <c r="F2" s="686"/>
      <c r="G2" s="686"/>
      <c r="H2" s="686"/>
      <c r="I2" s="686"/>
      <c r="J2" s="686"/>
      <c r="K2" s="289"/>
      <c r="L2" s="289"/>
      <c r="M2" s="289"/>
    </row>
    <row r="3" spans="1:13" ht="4.5" customHeight="1" x14ac:dyDescent="0.2">
      <c r="A3" s="3"/>
      <c r="B3" s="3"/>
      <c r="C3" s="3"/>
      <c r="D3" s="3"/>
      <c r="E3" s="3"/>
      <c r="F3" s="3"/>
      <c r="G3" s="3"/>
      <c r="H3" s="3"/>
      <c r="I3" s="3"/>
      <c r="J3" s="3"/>
      <c r="K3" s="3"/>
      <c r="L3" s="3"/>
      <c r="M3" s="3"/>
    </row>
    <row r="4" spans="1:13" x14ac:dyDescent="0.2">
      <c r="A4" s="3"/>
      <c r="B4" s="287" t="s">
        <v>26</v>
      </c>
      <c r="C4" s="690" t="s">
        <v>178</v>
      </c>
      <c r="D4" s="692"/>
      <c r="E4" s="698" t="s">
        <v>12</v>
      </c>
      <c r="F4" s="698"/>
      <c r="G4" s="699" t="s">
        <v>481</v>
      </c>
      <c r="H4" s="700"/>
      <c r="I4" s="700"/>
      <c r="J4" s="701"/>
      <c r="K4" s="3"/>
      <c r="L4" s="3"/>
      <c r="M4" s="3"/>
    </row>
    <row r="5" spans="1:13" ht="3" customHeight="1" x14ac:dyDescent="0.2">
      <c r="A5" s="3"/>
      <c r="B5" s="287"/>
      <c r="C5" s="3"/>
      <c r="D5" s="3"/>
      <c r="E5" s="290"/>
      <c r="F5" s="290"/>
      <c r="G5" s="3"/>
      <c r="H5" s="3"/>
      <c r="I5" s="3"/>
      <c r="J5" s="3"/>
      <c r="K5" s="3"/>
      <c r="L5" s="3"/>
      <c r="M5" s="3"/>
    </row>
    <row r="6" spans="1:13" x14ac:dyDescent="0.2">
      <c r="A6" s="3"/>
      <c r="B6" s="287" t="s">
        <v>117</v>
      </c>
      <c r="C6" s="690" t="s">
        <v>455</v>
      </c>
      <c r="D6" s="692"/>
      <c r="E6" s="698" t="s">
        <v>27</v>
      </c>
      <c r="F6" s="698"/>
      <c r="G6" s="321" t="s">
        <v>34</v>
      </c>
      <c r="H6" s="287" t="s">
        <v>321</v>
      </c>
      <c r="I6" s="687">
        <v>118095102</v>
      </c>
      <c r="J6" s="688"/>
      <c r="K6" s="3"/>
      <c r="L6" s="3"/>
      <c r="M6" s="3"/>
    </row>
    <row r="7" spans="1:13" ht="3" customHeight="1" x14ac:dyDescent="0.2">
      <c r="A7" s="3"/>
      <c r="B7" s="287"/>
      <c r="C7" s="3"/>
      <c r="D7" s="3"/>
      <c r="E7" s="290"/>
      <c r="F7" s="290"/>
      <c r="G7" s="3"/>
      <c r="H7" s="287"/>
      <c r="I7" s="3"/>
      <c r="J7" s="3"/>
      <c r="K7" s="3"/>
      <c r="L7" s="3"/>
      <c r="M7" s="3"/>
    </row>
    <row r="8" spans="1:13" x14ac:dyDescent="0.2">
      <c r="A8" s="3"/>
      <c r="B8" s="287" t="s">
        <v>269</v>
      </c>
      <c r="C8" s="690" t="s">
        <v>435</v>
      </c>
      <c r="D8" s="692"/>
      <c r="E8" s="291"/>
      <c r="F8" s="286" t="s">
        <v>323</v>
      </c>
      <c r="G8" s="415" t="s">
        <v>373</v>
      </c>
      <c r="H8" s="286" t="s">
        <v>322</v>
      </c>
      <c r="I8" s="690" t="s">
        <v>373</v>
      </c>
      <c r="J8" s="692"/>
      <c r="K8" s="3"/>
      <c r="L8" s="3"/>
      <c r="M8" s="3"/>
    </row>
    <row r="9" spans="1:13" ht="3" customHeight="1" x14ac:dyDescent="0.2">
      <c r="A9" s="3"/>
      <c r="B9" s="290"/>
      <c r="C9" s="3"/>
      <c r="D9" s="3"/>
      <c r="E9" s="290"/>
      <c r="F9" s="290"/>
      <c r="G9" s="3"/>
      <c r="H9" s="3"/>
      <c r="I9" s="3"/>
      <c r="J9" s="3"/>
      <c r="K9" s="3"/>
      <c r="L9" s="3"/>
      <c r="M9" s="3"/>
    </row>
    <row r="10" spans="1:13" x14ac:dyDescent="0.2">
      <c r="A10" s="3"/>
      <c r="B10" s="287" t="s">
        <v>403</v>
      </c>
      <c r="C10" s="696">
        <v>42064</v>
      </c>
      <c r="D10" s="697"/>
      <c r="E10" s="695" t="s">
        <v>31</v>
      </c>
      <c r="F10" s="694"/>
      <c r="G10" s="690" t="s">
        <v>57</v>
      </c>
      <c r="H10" s="691"/>
      <c r="I10" s="691"/>
      <c r="J10" s="692"/>
      <c r="K10" s="3"/>
      <c r="L10" s="3"/>
      <c r="M10" s="3"/>
    </row>
    <row r="11" spans="1:13" ht="5.25" customHeight="1" x14ac:dyDescent="0.2">
      <c r="A11" s="3"/>
      <c r="B11" s="3"/>
      <c r="C11" s="3"/>
      <c r="D11" s="3"/>
      <c r="E11" s="3"/>
      <c r="F11" s="3"/>
      <c r="G11" s="3"/>
      <c r="H11" s="3"/>
      <c r="I11" s="3"/>
      <c r="J11" s="3"/>
      <c r="K11" s="3"/>
      <c r="L11" s="3"/>
      <c r="M11" s="3"/>
    </row>
    <row r="12" spans="1:13" ht="15" customHeight="1" x14ac:dyDescent="0.2">
      <c r="A12" s="3"/>
      <c r="B12" s="287" t="s">
        <v>29</v>
      </c>
      <c r="C12" s="666" t="s">
        <v>46</v>
      </c>
      <c r="D12" s="666"/>
      <c r="E12" s="695" t="s">
        <v>290</v>
      </c>
      <c r="F12" s="698"/>
      <c r="G12" s="689" t="s">
        <v>436</v>
      </c>
      <c r="H12" s="689"/>
      <c r="I12" s="689"/>
      <c r="J12" s="689"/>
      <c r="K12" s="3"/>
      <c r="L12" s="3"/>
      <c r="M12" s="3"/>
    </row>
    <row r="13" spans="1:13" ht="5.25" customHeight="1" x14ac:dyDescent="0.2">
      <c r="A13" s="3"/>
      <c r="B13" s="3"/>
      <c r="C13" s="3"/>
      <c r="D13" s="3"/>
      <c r="E13" s="3"/>
      <c r="F13" s="3"/>
      <c r="G13" s="3"/>
      <c r="H13" s="3"/>
      <c r="I13" s="3"/>
      <c r="J13" s="3"/>
      <c r="K13" s="3"/>
      <c r="L13" s="3"/>
      <c r="M13" s="3"/>
    </row>
    <row r="14" spans="1:13" ht="15.75" customHeight="1" x14ac:dyDescent="0.2">
      <c r="A14" s="3"/>
      <c r="B14" s="686" t="s">
        <v>2</v>
      </c>
      <c r="C14" s="686"/>
      <c r="D14" s="686"/>
      <c r="E14" s="686"/>
      <c r="F14" s="686"/>
      <c r="G14" s="686"/>
      <c r="H14" s="686"/>
      <c r="I14" s="686"/>
      <c r="J14" s="686"/>
      <c r="K14" s="3"/>
      <c r="L14" s="3"/>
      <c r="M14" s="3"/>
    </row>
    <row r="15" spans="1:13" ht="3" customHeight="1" x14ac:dyDescent="0.2">
      <c r="A15" s="3"/>
      <c r="B15" s="3"/>
      <c r="C15" s="3"/>
      <c r="D15" s="3"/>
      <c r="E15" s="3"/>
      <c r="F15" s="3"/>
      <c r="G15" s="3"/>
      <c r="H15" s="3"/>
      <c r="I15" s="3"/>
      <c r="J15" s="3"/>
      <c r="K15" s="3"/>
      <c r="L15" s="3"/>
      <c r="M15" s="3"/>
    </row>
    <row r="16" spans="1:13" x14ac:dyDescent="0.2">
      <c r="A16" s="3"/>
      <c r="B16" s="287" t="s">
        <v>21</v>
      </c>
      <c r="C16" s="415" t="s">
        <v>123</v>
      </c>
      <c r="D16" s="286" t="s">
        <v>324</v>
      </c>
      <c r="E16" s="292" t="s">
        <v>472</v>
      </c>
      <c r="F16" s="288" t="s">
        <v>8</v>
      </c>
      <c r="G16" s="292" t="s">
        <v>473</v>
      </c>
      <c r="H16" s="695" t="s">
        <v>325</v>
      </c>
      <c r="I16" s="694"/>
      <c r="J16" s="292">
        <v>42689</v>
      </c>
      <c r="K16" s="3"/>
      <c r="L16" s="3"/>
      <c r="M16" s="3"/>
    </row>
    <row r="17" spans="1:35" ht="3" customHeight="1" x14ac:dyDescent="0.2">
      <c r="A17" s="3"/>
      <c r="B17" s="3"/>
      <c r="C17" s="3"/>
      <c r="D17" s="3"/>
      <c r="E17" s="3"/>
      <c r="F17" s="3"/>
      <c r="G17" s="3"/>
      <c r="H17" s="3"/>
      <c r="I17" s="3"/>
      <c r="J17" s="3"/>
      <c r="K17" s="3"/>
      <c r="L17" s="3"/>
      <c r="M17" s="3"/>
    </row>
    <row r="18" spans="1:35" x14ac:dyDescent="0.2">
      <c r="A18" s="3"/>
      <c r="B18" s="693" t="s">
        <v>32</v>
      </c>
      <c r="C18" s="694"/>
      <c r="D18" s="667" t="s">
        <v>465</v>
      </c>
      <c r="E18" s="667"/>
      <c r="F18" s="667"/>
      <c r="G18" s="293"/>
      <c r="H18" s="293"/>
      <c r="I18" s="293"/>
      <c r="J18" s="293"/>
      <c r="K18" s="3"/>
      <c r="L18" s="3"/>
      <c r="M18" s="3"/>
    </row>
    <row r="19" spans="1:35" ht="3" customHeight="1" x14ac:dyDescent="0.2">
      <c r="A19" s="3"/>
      <c r="B19" s="3"/>
      <c r="C19" s="3"/>
      <c r="D19" s="3"/>
      <c r="E19" s="3"/>
      <c r="F19" s="3"/>
      <c r="G19" s="3"/>
      <c r="H19" s="3"/>
      <c r="I19" s="3"/>
      <c r="J19" s="3"/>
      <c r="K19" s="3"/>
      <c r="L19" s="3"/>
      <c r="M19" s="3"/>
    </row>
    <row r="20" spans="1:35" ht="5.25" customHeight="1" x14ac:dyDescent="0.2">
      <c r="A20" s="3"/>
      <c r="B20" s="3"/>
      <c r="C20" s="3"/>
      <c r="D20" s="3"/>
      <c r="E20" s="3"/>
      <c r="F20" s="3"/>
      <c r="G20" s="3"/>
      <c r="H20" s="3"/>
      <c r="I20" s="3"/>
      <c r="J20" s="3"/>
      <c r="K20" s="3"/>
      <c r="L20" s="3"/>
      <c r="M20" s="3"/>
    </row>
    <row r="21" spans="1:35" ht="15.75" customHeight="1" x14ac:dyDescent="0.2">
      <c r="A21" s="3"/>
      <c r="B21" s="686" t="s">
        <v>362</v>
      </c>
      <c r="C21" s="686"/>
      <c r="D21" s="686"/>
      <c r="E21" s="686"/>
      <c r="F21" s="686"/>
      <c r="G21" s="686"/>
      <c r="H21" s="686"/>
      <c r="I21" s="686"/>
      <c r="J21" s="686"/>
      <c r="K21" s="3"/>
      <c r="L21" s="3"/>
      <c r="M21" s="3"/>
    </row>
    <row r="22" spans="1:35" x14ac:dyDescent="0.2">
      <c r="A22" s="3"/>
      <c r="B22" s="290" t="s">
        <v>3</v>
      </c>
      <c r="C22" s="3"/>
      <c r="D22" s="3"/>
      <c r="E22" s="294"/>
      <c r="F22" s="294"/>
      <c r="G22" s="3"/>
      <c r="H22" s="3"/>
      <c r="I22" s="294"/>
      <c r="J22" s="294"/>
      <c r="K22" s="3"/>
      <c r="L22" s="3"/>
      <c r="M22" s="3"/>
    </row>
    <row r="23" spans="1:35" ht="3" customHeight="1" x14ac:dyDescent="0.2">
      <c r="A23" s="3"/>
      <c r="B23" s="3"/>
      <c r="C23" s="3"/>
      <c r="D23" s="3"/>
      <c r="E23" s="3"/>
      <c r="F23" s="3"/>
      <c r="G23" s="3"/>
      <c r="H23" s="3"/>
      <c r="I23" s="3"/>
      <c r="J23" s="3"/>
      <c r="K23" s="3"/>
      <c r="L23" s="3"/>
      <c r="M23" s="3"/>
    </row>
    <row r="24" spans="1:35" ht="16" thickBot="1" x14ac:dyDescent="0.25">
      <c r="A24" s="3"/>
      <c r="B24" s="287" t="s">
        <v>399</v>
      </c>
      <c r="C24" s="401"/>
      <c r="D24" s="698" t="s">
        <v>400</v>
      </c>
      <c r="E24" s="698"/>
      <c r="F24" s="402"/>
      <c r="G24" s="698" t="s">
        <v>401</v>
      </c>
      <c r="H24" s="698"/>
      <c r="I24" s="722"/>
      <c r="J24" s="723"/>
      <c r="K24" s="3"/>
      <c r="L24" s="3"/>
      <c r="M24" s="3"/>
      <c r="N24" s="20"/>
    </row>
    <row r="25" spans="1:35" ht="20" thickBot="1" x14ac:dyDescent="0.3">
      <c r="A25" s="3"/>
      <c r="B25" s="87" t="s">
        <v>399</v>
      </c>
      <c r="C25" s="88"/>
      <c r="D25" s="88"/>
      <c r="E25" s="88"/>
      <c r="F25" s="88"/>
      <c r="G25" s="88"/>
      <c r="H25" s="275"/>
      <c r="I25" s="89"/>
      <c r="J25" s="89"/>
      <c r="K25" s="275" t="s">
        <v>326</v>
      </c>
      <c r="L25" s="88"/>
      <c r="M25" s="88"/>
      <c r="N25" s="423"/>
      <c r="O25" s="40"/>
      <c r="AI25" s="44"/>
    </row>
    <row r="26" spans="1:35" x14ac:dyDescent="0.2">
      <c r="A26" s="3"/>
      <c r="B26" s="670" t="s">
        <v>370</v>
      </c>
      <c r="C26" s="671"/>
      <c r="D26" s="437" t="s">
        <v>19</v>
      </c>
      <c r="E26" s="91"/>
      <c r="F26" s="91"/>
      <c r="G26" s="91"/>
      <c r="H26" s="91"/>
      <c r="I26" s="91"/>
      <c r="J26" s="92"/>
      <c r="K26" s="91"/>
      <c r="L26" s="91"/>
      <c r="M26" s="91"/>
      <c r="N26" s="40"/>
      <c r="O26" s="40"/>
      <c r="AI26" s="44"/>
    </row>
    <row r="27" spans="1:35" ht="19" x14ac:dyDescent="0.25">
      <c r="A27" s="3"/>
      <c r="B27" s="90" t="s">
        <v>380</v>
      </c>
      <c r="C27" s="91"/>
      <c r="D27" s="91"/>
      <c r="E27" s="91"/>
      <c r="F27" s="91"/>
      <c r="G27" s="91"/>
      <c r="H27" s="91"/>
      <c r="I27" s="91"/>
      <c r="J27" s="92"/>
      <c r="K27" s="91"/>
      <c r="L27" s="91"/>
      <c r="M27" s="91"/>
      <c r="N27" s="40"/>
      <c r="O27" s="40"/>
      <c r="AI27" s="44"/>
    </row>
    <row r="28" spans="1:35" ht="16" thickBot="1" x14ac:dyDescent="0.25">
      <c r="A28" s="3"/>
      <c r="B28" s="3"/>
      <c r="C28" s="3"/>
      <c r="D28" s="3"/>
      <c r="E28" s="3"/>
      <c r="F28" s="3"/>
      <c r="G28" s="3"/>
      <c r="H28" s="3"/>
      <c r="I28" s="3"/>
      <c r="J28" s="3"/>
      <c r="K28" s="3"/>
      <c r="L28" s="3"/>
      <c r="M28" s="3"/>
    </row>
    <row r="29" spans="1:35" ht="16" thickBot="1" x14ac:dyDescent="0.25">
      <c r="A29" s="3"/>
      <c r="B29" s="705" t="s">
        <v>60</v>
      </c>
      <c r="C29" s="706"/>
      <c r="D29" s="706"/>
      <c r="E29" s="706"/>
      <c r="F29" s="706"/>
      <c r="G29" s="706"/>
      <c r="H29" s="706"/>
      <c r="I29" s="706"/>
      <c r="J29" s="706"/>
      <c r="K29" s="706"/>
      <c r="L29" s="706"/>
      <c r="M29" s="706"/>
      <c r="N29" s="707"/>
      <c r="P29" s="211"/>
      <c r="Q29" s="212"/>
      <c r="R29" s="213">
        <f>+C33</f>
        <v>2320893.8574999999</v>
      </c>
      <c r="S29" s="211"/>
    </row>
    <row r="30" spans="1:35" x14ac:dyDescent="0.2">
      <c r="A30" s="3"/>
      <c r="B30" s="93" t="s">
        <v>268</v>
      </c>
      <c r="C30" s="379" t="s">
        <v>106</v>
      </c>
      <c r="D30" s="379" t="s">
        <v>107</v>
      </c>
      <c r="E30" s="379" t="s">
        <v>108</v>
      </c>
      <c r="F30" s="379" t="s">
        <v>109</v>
      </c>
      <c r="G30" s="379" t="s">
        <v>121</v>
      </c>
      <c r="H30" s="379" t="s">
        <v>122</v>
      </c>
      <c r="I30" s="379" t="s">
        <v>123</v>
      </c>
      <c r="J30" s="379" t="s">
        <v>124</v>
      </c>
      <c r="K30" s="379" t="s">
        <v>125</v>
      </c>
      <c r="L30" s="379" t="s">
        <v>126</v>
      </c>
      <c r="M30" s="379" t="s">
        <v>127</v>
      </c>
      <c r="N30" s="380" t="s">
        <v>288</v>
      </c>
      <c r="O30" s="381" t="s">
        <v>4</v>
      </c>
      <c r="P30" s="211"/>
      <c r="Q30" s="212"/>
      <c r="R30" s="213">
        <f>+D33</f>
        <v>12446968.501060568</v>
      </c>
      <c r="S30" s="211"/>
    </row>
    <row r="31" spans="1:35" x14ac:dyDescent="0.2">
      <c r="A31" s="3"/>
      <c r="B31" s="283" t="str">
        <f>CONCATENATE("Budget (in ",'Data Entry'!$D$26,")")</f>
        <v>Budget (in $)</v>
      </c>
      <c r="C31" s="391">
        <v>2320893.8574999999</v>
      </c>
      <c r="D31" s="391">
        <v>10126074.643560568</v>
      </c>
      <c r="E31" s="390">
        <v>9803852.5185605697</v>
      </c>
      <c r="F31" s="390">
        <v>9379167.5185605697</v>
      </c>
      <c r="G31" s="390">
        <v>18262700.537510611</v>
      </c>
      <c r="H31" s="390">
        <v>9705665.363510713</v>
      </c>
      <c r="I31" s="390">
        <v>8897793.014834119</v>
      </c>
      <c r="J31" s="390"/>
      <c r="K31" s="390"/>
      <c r="L31" s="390"/>
      <c r="M31" s="390"/>
      <c r="N31" s="390"/>
      <c r="O31" s="629">
        <f>+SUM(C35:N35)</f>
        <v>0.83302669129367146</v>
      </c>
      <c r="P31" s="211"/>
      <c r="Q31" s="212"/>
      <c r="R31" s="213">
        <f>+E33</f>
        <v>22250821.019621138</v>
      </c>
      <c r="S31" s="211"/>
    </row>
    <row r="32" spans="1:35" x14ac:dyDescent="0.2">
      <c r="A32" s="3"/>
      <c r="B32" s="93" t="str">
        <f>CONCATENATE("Disbursements by GF (in ", $D$26,")")</f>
        <v>Disbursements by GF (in $)</v>
      </c>
      <c r="C32" s="391">
        <v>0</v>
      </c>
      <c r="D32" s="391">
        <v>13715970</v>
      </c>
      <c r="E32" s="391">
        <v>0</v>
      </c>
      <c r="F32" s="391">
        <v>24269538.220000003</v>
      </c>
      <c r="G32" s="391">
        <v>6193448.8799999999</v>
      </c>
      <c r="H32" s="391">
        <v>8393007.1899999995</v>
      </c>
      <c r="I32" s="390">
        <v>4487154.79</v>
      </c>
      <c r="J32" s="390"/>
      <c r="K32" s="390"/>
      <c r="L32" s="390"/>
      <c r="M32" s="390"/>
      <c r="N32" s="390"/>
      <c r="O32" s="630"/>
      <c r="P32" s="211"/>
      <c r="Q32" s="212"/>
      <c r="R32" s="213">
        <f>+F33</f>
        <v>31629988.538181707</v>
      </c>
      <c r="S32" s="211"/>
    </row>
    <row r="33" spans="1:35" x14ac:dyDescent="0.2">
      <c r="A33" s="3"/>
      <c r="B33" s="94" t="s">
        <v>386</v>
      </c>
      <c r="C33" s="392">
        <f>+C31</f>
        <v>2320893.8574999999</v>
      </c>
      <c r="D33" s="392">
        <f>IF(AND(D31=0,D32=0),0,+C33+D31)</f>
        <v>12446968.501060568</v>
      </c>
      <c r="E33" s="392">
        <f t="shared" ref="E33:N33" si="0">IF(AND(E31=0,E32=0),0,+D33+E31)</f>
        <v>22250821.019621138</v>
      </c>
      <c r="F33" s="392">
        <f t="shared" si="0"/>
        <v>31629988.538181707</v>
      </c>
      <c r="G33" s="392">
        <f t="shared" si="0"/>
        <v>49892689.075692318</v>
      </c>
      <c r="H33" s="392">
        <f t="shared" si="0"/>
        <v>59598354.439203031</v>
      </c>
      <c r="I33" s="392">
        <f t="shared" si="0"/>
        <v>68496147.454037145</v>
      </c>
      <c r="J33" s="392">
        <f t="shared" si="0"/>
        <v>0</v>
      </c>
      <c r="K33" s="392">
        <f t="shared" si="0"/>
        <v>0</v>
      </c>
      <c r="L33" s="392">
        <f t="shared" si="0"/>
        <v>0</v>
      </c>
      <c r="M33" s="392">
        <f t="shared" si="0"/>
        <v>0</v>
      </c>
      <c r="N33" s="392">
        <f t="shared" si="0"/>
        <v>0</v>
      </c>
      <c r="O33" s="630"/>
      <c r="P33" s="371"/>
      <c r="Q33" s="212"/>
      <c r="R33" s="213">
        <f>+G33</f>
        <v>49892689.075692318</v>
      </c>
      <c r="S33" s="211"/>
    </row>
    <row r="34" spans="1:35" ht="16" thickBot="1" x14ac:dyDescent="0.25">
      <c r="A34" s="3"/>
      <c r="B34" s="95" t="s">
        <v>387</v>
      </c>
      <c r="C34" s="393">
        <f>+C32</f>
        <v>0</v>
      </c>
      <c r="D34" s="393">
        <f>IF(AND(D31=0,D32=0),0,+C34+D32)</f>
        <v>13715970</v>
      </c>
      <c r="E34" s="393">
        <f t="shared" ref="E34:N34" si="1">IF(AND(E31=0,E32=0),0,+D34+E32)</f>
        <v>13715970</v>
      </c>
      <c r="F34" s="393">
        <f t="shared" si="1"/>
        <v>37985508.219999999</v>
      </c>
      <c r="G34" s="393">
        <v>44178957.100000001</v>
      </c>
      <c r="H34" s="393">
        <f t="shared" si="1"/>
        <v>52571964.289999999</v>
      </c>
      <c r="I34" s="393">
        <f t="shared" si="1"/>
        <v>57059119.079999998</v>
      </c>
      <c r="J34" s="393">
        <f t="shared" si="1"/>
        <v>0</v>
      </c>
      <c r="K34" s="393">
        <f t="shared" si="1"/>
        <v>0</v>
      </c>
      <c r="L34" s="393">
        <f t="shared" si="1"/>
        <v>0</v>
      </c>
      <c r="M34" s="393">
        <f t="shared" si="1"/>
        <v>0</v>
      </c>
      <c r="N34" s="393">
        <f t="shared" si="1"/>
        <v>0</v>
      </c>
      <c r="O34" s="631"/>
      <c r="P34" s="371"/>
      <c r="Q34" s="212"/>
      <c r="R34" s="213">
        <f>+H33</f>
        <v>59598354.439203031</v>
      </c>
      <c r="S34" s="211"/>
    </row>
    <row r="35" spans="1:35" x14ac:dyDescent="0.2">
      <c r="A35" s="3"/>
      <c r="B35" s="3"/>
      <c r="C35" s="348">
        <f>+IF(AND(C30=$C$16,C33&lt;&gt;0),C34/C33,0)</f>
        <v>0</v>
      </c>
      <c r="D35" s="348">
        <f t="shared" ref="D35:N35" si="2">+IF(AND(D30=$C$16,D33&lt;&gt;0),D34/D33,0)</f>
        <v>0</v>
      </c>
      <c r="E35" s="348">
        <f t="shared" si="2"/>
        <v>0</v>
      </c>
      <c r="F35" s="348">
        <f t="shared" si="2"/>
        <v>0</v>
      </c>
      <c r="G35" s="348">
        <f t="shared" si="2"/>
        <v>0</v>
      </c>
      <c r="H35" s="348">
        <f t="shared" si="2"/>
        <v>0</v>
      </c>
      <c r="I35" s="348">
        <f t="shared" si="2"/>
        <v>0.83302669129367146</v>
      </c>
      <c r="J35" s="348">
        <f t="shared" si="2"/>
        <v>0</v>
      </c>
      <c r="K35" s="348">
        <f t="shared" si="2"/>
        <v>0</v>
      </c>
      <c r="L35" s="348">
        <f t="shared" si="2"/>
        <v>0</v>
      </c>
      <c r="M35" s="348">
        <f t="shared" si="2"/>
        <v>0</v>
      </c>
      <c r="N35" s="348">
        <f t="shared" si="2"/>
        <v>0</v>
      </c>
      <c r="O35" s="295"/>
      <c r="P35" s="214"/>
      <c r="Q35" s="215"/>
      <c r="R35" s="213">
        <f>+I33</f>
        <v>68496147.454037145</v>
      </c>
      <c r="S35" s="211"/>
    </row>
    <row r="36" spans="1:35" ht="19" x14ac:dyDescent="0.25">
      <c r="A36" s="3"/>
      <c r="B36" s="90" t="s">
        <v>379</v>
      </c>
      <c r="C36" s="3"/>
      <c r="D36" s="3"/>
      <c r="E36" s="362"/>
      <c r="F36" s="3"/>
      <c r="G36" s="266"/>
      <c r="H36" s="3"/>
      <c r="I36" s="3"/>
      <c r="J36" s="3"/>
      <c r="K36" s="3"/>
      <c r="L36" s="3"/>
      <c r="M36" s="3"/>
      <c r="N36" s="41"/>
      <c r="O36" s="41"/>
      <c r="AI36" s="20"/>
    </row>
    <row r="37" spans="1:35" ht="16" thickBot="1" x14ac:dyDescent="0.25">
      <c r="A37" s="3"/>
      <c r="B37" s="3"/>
      <c r="C37" s="3"/>
      <c r="D37" s="3"/>
      <c r="E37" s="3"/>
      <c r="F37" s="3"/>
      <c r="G37" s="3"/>
      <c r="H37" s="3"/>
      <c r="I37" s="3"/>
      <c r="J37" s="3"/>
      <c r="K37" s="3"/>
      <c r="L37" s="3"/>
      <c r="M37" s="3"/>
      <c r="N37" s="39"/>
      <c r="O37" s="39"/>
    </row>
    <row r="38" spans="1:35" ht="30" customHeight="1" x14ac:dyDescent="0.2">
      <c r="A38" s="3"/>
      <c r="B38" s="405" t="s">
        <v>462</v>
      </c>
      <c r="C38" s="406" t="str">
        <f>CONCATENATE("Cumulative Budget (in ",'Data Entry'!$D$26,")")</f>
        <v>Cumulative Budget (in $)</v>
      </c>
      <c r="D38" s="407" t="str">
        <f>CONCATENATE("Cumulative Expenditures (in ",'Data Entry'!$D$26,")")</f>
        <v>Cumulative Expenditures (in $)</v>
      </c>
      <c r="E38" s="281"/>
      <c r="F38" s="298"/>
      <c r="G38" s="3"/>
      <c r="H38" s="3"/>
      <c r="I38" s="3"/>
      <c r="J38" s="101"/>
      <c r="K38" s="42"/>
      <c r="N38"/>
      <c r="O38"/>
      <c r="AE38" s="20"/>
      <c r="AF38" s="36"/>
    </row>
    <row r="39" spans="1:35" ht="14.25" customHeight="1" x14ac:dyDescent="0.2">
      <c r="A39" s="3"/>
      <c r="B39" s="408" t="s">
        <v>456</v>
      </c>
      <c r="C39" s="403">
        <v>28645969.864630215</v>
      </c>
      <c r="D39" s="409">
        <v>29441754.333287001</v>
      </c>
      <c r="E39" s="296" t="s">
        <v>486</v>
      </c>
      <c r="F39" s="373"/>
      <c r="G39" s="374"/>
      <c r="H39" s="3"/>
      <c r="I39" s="3"/>
      <c r="J39" s="102"/>
      <c r="K39" s="43"/>
      <c r="N39"/>
      <c r="O39"/>
      <c r="AE39" s="20"/>
      <c r="AF39" s="36"/>
    </row>
    <row r="40" spans="1:35" ht="14.25" customHeight="1" x14ac:dyDescent="0.2">
      <c r="A40" s="3"/>
      <c r="B40" s="408" t="s">
        <v>457</v>
      </c>
      <c r="C40" s="403">
        <v>29088691.1992165</v>
      </c>
      <c r="D40" s="409">
        <v>17124335.66589471</v>
      </c>
      <c r="E40" s="15" t="s">
        <v>487</v>
      </c>
      <c r="F40" s="373"/>
      <c r="G40" s="374"/>
      <c r="H40" s="3"/>
      <c r="I40" s="3"/>
      <c r="J40" s="3"/>
      <c r="K40" s="43"/>
      <c r="N40"/>
      <c r="O40"/>
      <c r="AE40" s="20"/>
      <c r="AF40" s="36"/>
    </row>
    <row r="41" spans="1:35" x14ac:dyDescent="0.2">
      <c r="A41" s="3"/>
      <c r="B41" s="410" t="s">
        <v>458</v>
      </c>
      <c r="C41" s="404">
        <v>3440988.7765096957</v>
      </c>
      <c r="D41" s="409">
        <v>2259132.84</v>
      </c>
      <c r="E41" s="15" t="s">
        <v>488</v>
      </c>
      <c r="F41" s="375"/>
      <c r="G41" s="3"/>
      <c r="H41" s="3"/>
      <c r="I41" s="3"/>
      <c r="J41" s="3"/>
      <c r="K41" s="43"/>
      <c r="N41"/>
      <c r="O41"/>
      <c r="AE41" s="20"/>
      <c r="AF41" s="36"/>
    </row>
    <row r="42" spans="1:35" ht="15" customHeight="1" x14ac:dyDescent="0.2">
      <c r="A42" s="3"/>
      <c r="B42" s="408" t="s">
        <v>459</v>
      </c>
      <c r="C42" s="403">
        <v>5053567.1945765726</v>
      </c>
      <c r="D42" s="409">
        <v>4194231.0300000003</v>
      </c>
      <c r="E42" s="15" t="s">
        <v>489</v>
      </c>
      <c r="F42" s="372"/>
      <c r="G42" s="3"/>
      <c r="H42" s="3"/>
      <c r="I42" s="3"/>
      <c r="J42" s="3"/>
      <c r="K42" s="20"/>
      <c r="N42"/>
      <c r="O42"/>
      <c r="AE42" s="20"/>
      <c r="AF42" s="36"/>
    </row>
    <row r="43" spans="1:35" x14ac:dyDescent="0.2">
      <c r="A43" s="3"/>
      <c r="B43" s="410" t="s">
        <v>460</v>
      </c>
      <c r="C43" s="404">
        <v>217504.00773575052</v>
      </c>
      <c r="D43" s="409">
        <v>316505.62</v>
      </c>
      <c r="E43" s="15" t="s">
        <v>490</v>
      </c>
      <c r="F43" s="297"/>
      <c r="G43" s="3"/>
      <c r="H43" s="3"/>
      <c r="I43" s="3"/>
      <c r="J43" s="3"/>
      <c r="K43" s="20"/>
      <c r="N43"/>
      <c r="O43"/>
      <c r="AE43" s="20"/>
      <c r="AF43" s="36"/>
    </row>
    <row r="44" spans="1:35" x14ac:dyDescent="0.2">
      <c r="A44" s="3"/>
      <c r="B44" s="410" t="s">
        <v>461</v>
      </c>
      <c r="C44" s="404">
        <v>1564151.611368421</v>
      </c>
      <c r="D44" s="409">
        <v>1466849.4</v>
      </c>
      <c r="E44" s="15" t="s">
        <v>492</v>
      </c>
      <c r="F44" s="431"/>
      <c r="G44" s="3"/>
      <c r="H44" s="3"/>
      <c r="I44" s="3"/>
      <c r="J44" s="3"/>
      <c r="K44" s="20"/>
      <c r="N44"/>
      <c r="O44"/>
      <c r="AE44" s="20"/>
      <c r="AF44" s="36"/>
    </row>
    <row r="45" spans="1:35" x14ac:dyDescent="0.2">
      <c r="A45" s="3"/>
      <c r="B45" s="410" t="s">
        <v>471</v>
      </c>
      <c r="C45" s="404">
        <v>485274.8</v>
      </c>
      <c r="D45" s="409">
        <v>292401</v>
      </c>
      <c r="E45" s="15" t="s">
        <v>491</v>
      </c>
      <c r="F45" s="297"/>
      <c r="G45" s="15"/>
      <c r="H45" s="15"/>
      <c r="I45" s="15"/>
      <c r="J45" s="15"/>
      <c r="K45" s="20"/>
      <c r="N45"/>
      <c r="O45"/>
      <c r="AE45" s="36"/>
      <c r="AF45" s="36"/>
    </row>
    <row r="46" spans="1:35" ht="16" thickBot="1" x14ac:dyDescent="0.25">
      <c r="A46" s="3"/>
      <c r="B46" s="411"/>
      <c r="C46" s="403"/>
      <c r="D46" s="409"/>
      <c r="E46" s="15"/>
      <c r="F46" s="15"/>
      <c r="G46" s="15"/>
      <c r="H46" s="15"/>
      <c r="I46" s="15"/>
      <c r="J46" s="15"/>
      <c r="K46" s="20"/>
      <c r="N46"/>
      <c r="O46"/>
      <c r="AE46" s="36"/>
      <c r="AF46" s="36"/>
    </row>
    <row r="47" spans="1:35" ht="16" thickBot="1" x14ac:dyDescent="0.25">
      <c r="A47" s="3"/>
      <c r="B47" s="412" t="s">
        <v>59</v>
      </c>
      <c r="C47" s="413">
        <f>SUM(C39:C45)</f>
        <v>68496147.45403716</v>
      </c>
      <c r="D47" s="414">
        <f>SUM(D39:D45)</f>
        <v>55095209.889181703</v>
      </c>
      <c r="E47" s="295"/>
      <c r="F47" s="638" t="str">
        <f ca="1">+IF((ROUND(C47,0)=ROUND(OFFSET(B33,0,RIGHT('Data Entry'!$C$16,LEN('Data Entry'!$C$16)-1),1,1),0)),"OK: Data match","Warning: Data does not match")</f>
        <v>OK: Data match</v>
      </c>
      <c r="G47" s="639"/>
      <c r="H47" s="639"/>
      <c r="I47" s="640"/>
      <c r="J47" s="205"/>
      <c r="K47" s="205"/>
      <c r="L47" s="205"/>
      <c r="M47" s="214"/>
      <c r="N47" s="215"/>
      <c r="O47" s="213"/>
      <c r="P47" s="211"/>
      <c r="AE47" s="36"/>
      <c r="AF47" s="36"/>
    </row>
    <row r="48" spans="1:35" x14ac:dyDescent="0.2">
      <c r="A48" s="3"/>
      <c r="B48" s="3"/>
      <c r="C48" s="205"/>
      <c r="D48" s="205"/>
      <c r="E48" s="278"/>
      <c r="F48" s="205"/>
      <c r="G48" s="205"/>
      <c r="H48" s="205"/>
      <c r="I48" s="205"/>
      <c r="J48" s="205"/>
      <c r="K48" s="205"/>
      <c r="L48" s="205"/>
      <c r="M48" s="205"/>
      <c r="N48" s="205"/>
      <c r="O48" s="205"/>
      <c r="P48" s="214"/>
      <c r="Q48" s="215"/>
      <c r="R48" s="213"/>
      <c r="S48" s="211"/>
    </row>
    <row r="49" spans="1:35" ht="19" x14ac:dyDescent="0.25">
      <c r="A49" s="3"/>
      <c r="B49" s="90" t="s">
        <v>378</v>
      </c>
      <c r="C49" s="3"/>
      <c r="D49" s="3"/>
      <c r="E49" s="3"/>
      <c r="F49" s="3"/>
      <c r="G49" s="3"/>
      <c r="H49" s="3"/>
      <c r="I49" s="3"/>
      <c r="J49" s="3"/>
      <c r="K49" s="3"/>
      <c r="L49" s="3"/>
      <c r="M49" s="3"/>
      <c r="P49" s="211"/>
      <c r="Q49" s="212"/>
      <c r="R49" s="213">
        <f>+J33</f>
        <v>0</v>
      </c>
      <c r="S49" s="211"/>
    </row>
    <row r="50" spans="1:35" ht="16" thickBot="1" x14ac:dyDescent="0.25">
      <c r="A50" s="3"/>
      <c r="B50" s="3"/>
      <c r="C50" s="3"/>
      <c r="D50" s="3"/>
      <c r="E50" s="3"/>
      <c r="F50" s="3"/>
      <c r="G50" s="3"/>
      <c r="H50" s="3"/>
      <c r="I50" s="3"/>
      <c r="J50" s="3"/>
      <c r="K50" s="3"/>
      <c r="L50" s="3"/>
      <c r="M50" s="3"/>
      <c r="P50" s="211"/>
      <c r="Q50" s="212"/>
      <c r="R50" s="213">
        <f>+K33</f>
        <v>0</v>
      </c>
      <c r="S50" s="211"/>
    </row>
    <row r="51" spans="1:35" ht="35.25" customHeight="1" x14ac:dyDescent="0.2">
      <c r="A51" s="3"/>
      <c r="B51" s="301"/>
      <c r="C51" s="302" t="s">
        <v>376</v>
      </c>
      <c r="D51" s="302" t="s">
        <v>377</v>
      </c>
      <c r="E51" s="429" t="str">
        <f>CONCATENATE("Total Spent and Disbursement (in ",D26,")")</f>
        <v>Total Spent and Disbursement (in $)</v>
      </c>
      <c r="F51" s="3"/>
      <c r="G51" s="305"/>
      <c r="H51" s="298"/>
      <c r="I51" s="284"/>
      <c r="J51" s="284"/>
      <c r="K51" s="284"/>
      <c r="L51" s="284"/>
      <c r="M51" s="22"/>
      <c r="N51" s="22"/>
      <c r="O51" s="211"/>
      <c r="P51" s="212"/>
      <c r="Q51" s="213">
        <f>+M33</f>
        <v>0</v>
      </c>
      <c r="R51" s="211"/>
      <c r="AH51" s="20"/>
    </row>
    <row r="52" spans="1:35" x14ac:dyDescent="0.2">
      <c r="A52" s="3"/>
      <c r="B52" s="299" t="s">
        <v>311</v>
      </c>
      <c r="C52" s="518">
        <v>8393007</v>
      </c>
      <c r="D52" s="395">
        <v>4487154.79</v>
      </c>
      <c r="E52" s="396">
        <f>+D52+C52</f>
        <v>12880161.789999999</v>
      </c>
      <c r="F52" s="3"/>
      <c r="G52" s="97"/>
      <c r="H52" s="303"/>
      <c r="I52" s="96"/>
      <c r="J52" s="208"/>
      <c r="K52" s="209"/>
      <c r="L52" s="98"/>
      <c r="M52" s="37"/>
      <c r="N52" s="37"/>
      <c r="O52" s="211"/>
      <c r="P52" s="211"/>
      <c r="Q52" s="211"/>
      <c r="R52" s="211"/>
      <c r="AH52" s="20"/>
    </row>
    <row r="53" spans="1:35" x14ac:dyDescent="0.2">
      <c r="A53" s="3"/>
      <c r="B53" s="299" t="s">
        <v>291</v>
      </c>
      <c r="C53" s="517">
        <v>15928857.999</v>
      </c>
      <c r="D53" s="394">
        <v>7722369.4100000001</v>
      </c>
      <c r="E53" s="396">
        <f>+D53+C53</f>
        <v>23651227.409000002</v>
      </c>
      <c r="F53" s="3" t="s">
        <v>493</v>
      </c>
      <c r="G53" s="260"/>
      <c r="H53" s="303"/>
      <c r="I53" s="96"/>
      <c r="J53" s="208"/>
      <c r="K53" s="208"/>
      <c r="L53" s="98"/>
      <c r="M53" s="38"/>
      <c r="N53" s="38"/>
      <c r="O53" s="211"/>
      <c r="P53" s="211"/>
      <c r="Q53" s="211"/>
      <c r="R53" s="211"/>
      <c r="AH53" s="20"/>
    </row>
    <row r="54" spans="1:35" x14ac:dyDescent="0.2">
      <c r="A54" s="3"/>
      <c r="B54" s="299" t="s">
        <v>270</v>
      </c>
      <c r="C54" s="517">
        <v>258157</v>
      </c>
      <c r="D54" s="394">
        <v>0</v>
      </c>
      <c r="E54" s="396">
        <f>+D54+C54</f>
        <v>258157</v>
      </c>
      <c r="F54" s="3"/>
      <c r="G54" s="97"/>
      <c r="H54" s="303"/>
      <c r="I54" s="96"/>
      <c r="J54" s="208"/>
      <c r="K54" s="209"/>
      <c r="L54" s="98"/>
      <c r="M54" s="37"/>
      <c r="N54" s="37"/>
      <c r="O54"/>
      <c r="AH54" s="20"/>
    </row>
    <row r="55" spans="1:35" ht="16" thickBot="1" x14ac:dyDescent="0.25">
      <c r="A55" s="3"/>
      <c r="B55" s="300" t="s">
        <v>271</v>
      </c>
      <c r="C55" s="517">
        <v>251841.22</v>
      </c>
      <c r="D55" s="397">
        <v>0</v>
      </c>
      <c r="E55" s="398">
        <f>+D55+C55</f>
        <v>251841.22</v>
      </c>
      <c r="F55" s="3"/>
      <c r="G55" s="261"/>
      <c r="H55" s="304"/>
      <c r="I55" s="99"/>
      <c r="J55" s="99"/>
      <c r="K55" s="99"/>
      <c r="L55" s="98"/>
      <c r="M55" s="38"/>
      <c r="N55" s="38"/>
      <c r="O55"/>
      <c r="AH55" s="20"/>
    </row>
    <row r="56" spans="1:35" ht="15.75" customHeight="1" x14ac:dyDescent="0.2">
      <c r="A56" s="3"/>
      <c r="B56" s="3"/>
      <c r="C56" s="3"/>
      <c r="D56" s="3"/>
      <c r="E56" s="3"/>
      <c r="F56" s="3"/>
      <c r="G56" s="3"/>
      <c r="H56" s="3"/>
      <c r="I56" s="3"/>
      <c r="J56" s="3"/>
      <c r="K56" s="3"/>
      <c r="L56" s="3"/>
      <c r="M56" s="3"/>
      <c r="AI56" s="20"/>
    </row>
    <row r="57" spans="1:35" x14ac:dyDescent="0.2">
      <c r="A57" s="3"/>
      <c r="B57" s="3"/>
      <c r="C57" s="3"/>
      <c r="D57" s="282"/>
      <c r="E57" s="3"/>
      <c r="F57" s="3"/>
      <c r="G57" s="3"/>
      <c r="H57" s="3"/>
      <c r="I57" s="3"/>
      <c r="J57" s="3"/>
      <c r="K57" s="3"/>
      <c r="L57" s="3"/>
      <c r="M57" s="3"/>
    </row>
    <row r="58" spans="1:35" ht="19" x14ac:dyDescent="0.25">
      <c r="A58" s="3"/>
      <c r="B58" s="90" t="s">
        <v>381</v>
      </c>
      <c r="C58" s="3"/>
      <c r="D58" s="3"/>
      <c r="E58" s="3"/>
      <c r="F58" s="3"/>
      <c r="G58" s="3"/>
      <c r="H58" s="3"/>
      <c r="I58" s="3"/>
      <c r="J58" s="3"/>
      <c r="K58" s="3"/>
      <c r="L58" s="3"/>
      <c r="M58" s="3"/>
    </row>
    <row r="59" spans="1:35" ht="16" thickBot="1" x14ac:dyDescent="0.25">
      <c r="A59" s="3"/>
      <c r="B59" s="3"/>
      <c r="C59" s="3"/>
      <c r="D59" s="3"/>
      <c r="E59" s="3"/>
      <c r="F59" s="3"/>
      <c r="G59" s="3"/>
      <c r="H59" s="3"/>
      <c r="I59" s="3"/>
      <c r="J59" s="3"/>
      <c r="K59" s="3"/>
      <c r="L59" s="3"/>
      <c r="M59" s="3"/>
    </row>
    <row r="60" spans="1:35" x14ac:dyDescent="0.2">
      <c r="A60" s="3"/>
      <c r="B60" s="714" t="s">
        <v>346</v>
      </c>
      <c r="C60" s="715"/>
      <c r="D60" s="716"/>
      <c r="E60" s="3"/>
      <c r="F60" s="3"/>
      <c r="G60" s="3"/>
      <c r="H60" s="3"/>
      <c r="I60" s="3"/>
      <c r="J60" s="3"/>
      <c r="K60" s="3"/>
      <c r="L60" s="3"/>
      <c r="M60" s="36"/>
      <c r="O60"/>
    </row>
    <row r="61" spans="1:35" x14ac:dyDescent="0.2">
      <c r="A61" s="3"/>
      <c r="B61" s="103"/>
      <c r="C61" s="307" t="s">
        <v>61</v>
      </c>
      <c r="D61" s="308" t="s">
        <v>62</v>
      </c>
      <c r="E61" s="3"/>
      <c r="F61" s="3"/>
      <c r="G61" s="3"/>
      <c r="H61" s="3"/>
      <c r="I61" s="3"/>
      <c r="J61" s="3"/>
      <c r="K61" s="3"/>
      <c r="L61" s="3"/>
      <c r="M61" s="36"/>
      <c r="O61"/>
    </row>
    <row r="62" spans="1:35" x14ac:dyDescent="0.2">
      <c r="A62" s="3"/>
      <c r="B62" s="104" t="s">
        <v>1</v>
      </c>
      <c r="C62" s="376">
        <v>45</v>
      </c>
      <c r="D62" s="494">
        <v>45</v>
      </c>
      <c r="E62" s="3"/>
      <c r="F62" s="3"/>
      <c r="G62" s="3"/>
      <c r="H62" s="3"/>
      <c r="I62" s="3"/>
      <c r="J62" s="3"/>
      <c r="K62" s="3"/>
      <c r="L62" s="3"/>
      <c r="M62" s="36"/>
      <c r="O62"/>
    </row>
    <row r="63" spans="1:35" x14ac:dyDescent="0.2">
      <c r="A63" s="3"/>
      <c r="B63" s="306" t="s">
        <v>363</v>
      </c>
      <c r="C63" s="376">
        <v>45</v>
      </c>
      <c r="D63" s="377">
        <v>67</v>
      </c>
      <c r="E63" s="3"/>
      <c r="F63" s="3"/>
      <c r="G63" s="3"/>
      <c r="H63" s="303"/>
      <c r="I63" s="303"/>
      <c r="J63" s="3"/>
      <c r="K63" s="3"/>
      <c r="L63" s="3"/>
      <c r="M63" s="36"/>
      <c r="O63"/>
    </row>
    <row r="64" spans="1:35" ht="16" thickBot="1" x14ac:dyDescent="0.25">
      <c r="A64" s="3"/>
      <c r="B64" s="105" t="s">
        <v>364</v>
      </c>
      <c r="C64" s="378">
        <v>20</v>
      </c>
      <c r="D64" s="495">
        <v>20</v>
      </c>
      <c r="E64" s="3"/>
      <c r="F64" s="3"/>
      <c r="G64" s="3"/>
      <c r="H64" s="303"/>
      <c r="I64" s="303"/>
      <c r="J64" s="3"/>
      <c r="K64" s="3"/>
      <c r="L64" s="3"/>
      <c r="M64" s="36"/>
      <c r="O64"/>
    </row>
    <row r="65" spans="1:30" x14ac:dyDescent="0.2">
      <c r="A65" s="3"/>
      <c r="B65" s="3"/>
      <c r="C65" s="3"/>
      <c r="D65" s="3"/>
      <c r="E65" s="3"/>
      <c r="F65" s="3"/>
      <c r="G65" s="3"/>
      <c r="H65" s="3"/>
      <c r="I65" s="3"/>
      <c r="J65" s="3"/>
      <c r="K65" s="3"/>
      <c r="L65" s="3"/>
      <c r="M65" s="3"/>
    </row>
    <row r="66" spans="1:30" ht="16" thickBot="1" x14ac:dyDescent="0.25">
      <c r="A66" s="3"/>
      <c r="B66" s="3"/>
      <c r="C66" s="3"/>
      <c r="D66" s="3"/>
      <c r="E66" s="3"/>
      <c r="F66" s="3"/>
      <c r="G66" s="3"/>
      <c r="H66" s="3"/>
      <c r="I66" s="3"/>
      <c r="J66" s="3"/>
      <c r="K66" s="3"/>
      <c r="L66" s="425"/>
      <c r="M66" s="3"/>
      <c r="AC66" s="19"/>
      <c r="AD66" s="19"/>
    </row>
    <row r="67" spans="1:30" ht="20" thickBot="1" x14ac:dyDescent="0.3">
      <c r="A67" s="3"/>
      <c r="B67" s="106" t="s">
        <v>264</v>
      </c>
      <c r="C67" s="107"/>
      <c r="D67" s="107"/>
      <c r="E67" s="107"/>
      <c r="F67" s="107"/>
      <c r="G67" s="107"/>
      <c r="H67" s="331" t="s">
        <v>304</v>
      </c>
      <c r="I67" s="107"/>
      <c r="J67" s="108"/>
      <c r="K67" s="108"/>
      <c r="L67" s="426"/>
      <c r="M67" s="427"/>
      <c r="N67" s="84"/>
      <c r="O67" s="84"/>
      <c r="P67" s="84"/>
      <c r="S67" s="44"/>
      <c r="AC67" s="19"/>
      <c r="AD67" s="19"/>
    </row>
    <row r="68" spans="1:30" ht="19" x14ac:dyDescent="0.25">
      <c r="A68" s="3"/>
      <c r="B68" s="110"/>
      <c r="C68" s="109"/>
      <c r="D68" s="109"/>
      <c r="E68" s="109"/>
      <c r="F68" s="109"/>
      <c r="G68" s="109"/>
      <c r="H68" s="109"/>
      <c r="I68" s="109"/>
      <c r="J68" s="109"/>
      <c r="K68" s="111"/>
      <c r="L68" s="111"/>
      <c r="M68" s="109"/>
      <c r="N68" s="84"/>
      <c r="O68" s="84"/>
      <c r="P68" s="84"/>
      <c r="S68" s="44"/>
      <c r="AC68" s="19"/>
      <c r="AD68" s="19"/>
    </row>
    <row r="69" spans="1:30" ht="19" x14ac:dyDescent="0.25">
      <c r="A69" s="3"/>
      <c r="B69" s="110" t="s">
        <v>382</v>
      </c>
      <c r="C69" s="109"/>
      <c r="D69" s="109"/>
      <c r="E69" s="109"/>
      <c r="F69" s="109"/>
      <c r="G69" s="109"/>
      <c r="H69" s="109"/>
      <c r="I69" s="109"/>
      <c r="J69" s="109"/>
      <c r="K69" s="111"/>
      <c r="L69" s="111"/>
      <c r="M69" s="109"/>
      <c r="N69" s="84"/>
      <c r="O69" s="84"/>
      <c r="P69" s="84"/>
      <c r="S69" s="44"/>
      <c r="AC69" s="19"/>
      <c r="AD69" s="19"/>
    </row>
    <row r="70" spans="1:30" ht="16" thickBot="1" x14ac:dyDescent="0.25">
      <c r="A70" s="3"/>
      <c r="B70" s="2"/>
      <c r="C70" s="112"/>
      <c r="D70" s="112"/>
      <c r="E70" s="112"/>
      <c r="F70" s="112"/>
      <c r="G70" s="112"/>
      <c r="H70" s="2"/>
      <c r="I70" s="112"/>
      <c r="J70" s="2"/>
      <c r="K70" s="2"/>
      <c r="L70" s="2"/>
      <c r="M70" s="2"/>
      <c r="N70" s="20"/>
      <c r="O70" s="19"/>
      <c r="P70" s="19"/>
      <c r="Q70" s="19"/>
      <c r="R70" s="19"/>
      <c r="S70" s="19"/>
      <c r="AD70" s="19"/>
    </row>
    <row r="71" spans="1:30" ht="30" x14ac:dyDescent="0.2">
      <c r="A71" s="3"/>
      <c r="B71" s="668"/>
      <c r="C71" s="669"/>
      <c r="D71" s="114" t="s">
        <v>118</v>
      </c>
      <c r="E71" s="115" t="s">
        <v>297</v>
      </c>
      <c r="F71" s="115" t="s">
        <v>119</v>
      </c>
      <c r="G71" s="116" t="s">
        <v>59</v>
      </c>
      <c r="H71" s="316"/>
      <c r="I71" s="317"/>
      <c r="J71" s="15"/>
      <c r="K71" s="2"/>
      <c r="L71" s="2"/>
      <c r="M71" s="2"/>
      <c r="N71" s="20"/>
      <c r="O71" s="19"/>
      <c r="P71" s="19"/>
      <c r="Q71" s="19"/>
      <c r="R71" s="19"/>
      <c r="S71" s="19"/>
    </row>
    <row r="72" spans="1:30" x14ac:dyDescent="0.2">
      <c r="A72" s="3"/>
      <c r="B72" s="702" t="s">
        <v>402</v>
      </c>
      <c r="C72" s="703"/>
      <c r="D72" s="263">
        <v>3</v>
      </c>
      <c r="E72" s="263">
        <v>3</v>
      </c>
      <c r="F72" s="263">
        <v>0</v>
      </c>
      <c r="G72" s="118">
        <f>SUM(D72:F72)</f>
        <v>6</v>
      </c>
      <c r="H72" s="297"/>
      <c r="I72" s="315"/>
      <c r="J72" s="315"/>
      <c r="K72" s="2"/>
      <c r="L72" s="2"/>
      <c r="M72" s="2"/>
      <c r="N72" s="20"/>
      <c r="O72" s="19"/>
      <c r="P72" s="19"/>
      <c r="Q72" s="19"/>
      <c r="R72" s="19"/>
      <c r="S72" s="19"/>
    </row>
    <row r="73" spans="1:30" ht="16" thickBot="1" x14ac:dyDescent="0.25">
      <c r="A73" s="3"/>
      <c r="B73" s="717" t="s">
        <v>11</v>
      </c>
      <c r="C73" s="718"/>
      <c r="D73" s="264">
        <v>0</v>
      </c>
      <c r="E73" s="264">
        <v>0</v>
      </c>
      <c r="F73" s="264">
        <v>0</v>
      </c>
      <c r="G73" s="120">
        <f>SUM(D73:F73)</f>
        <v>0</v>
      </c>
      <c r="H73" s="297"/>
      <c r="I73" s="15"/>
      <c r="J73" s="15"/>
      <c r="K73" s="2"/>
      <c r="L73" s="2"/>
      <c r="M73" s="2"/>
      <c r="N73" s="19"/>
      <c r="O73" s="19"/>
      <c r="P73" s="19"/>
      <c r="Q73" s="19"/>
      <c r="R73" s="19"/>
      <c r="S73" s="19"/>
    </row>
    <row r="74" spans="1:30" x14ac:dyDescent="0.2">
      <c r="A74" s="3"/>
      <c r="B74" s="2"/>
      <c r="C74" s="2"/>
      <c r="D74" s="2"/>
      <c r="E74" s="2"/>
      <c r="F74" s="2"/>
      <c r="G74" s="2"/>
      <c r="H74" s="2"/>
      <c r="I74" s="2"/>
      <c r="J74" s="2"/>
      <c r="K74" s="2"/>
      <c r="L74" s="2"/>
      <c r="M74" s="2"/>
      <c r="N74" s="19"/>
      <c r="O74" s="19"/>
      <c r="P74" s="19"/>
      <c r="Q74" s="19"/>
      <c r="R74" s="19"/>
      <c r="S74" s="19"/>
    </row>
    <row r="75" spans="1:30" x14ac:dyDescent="0.2">
      <c r="A75" s="3"/>
      <c r="B75" s="2"/>
      <c r="C75" s="2"/>
      <c r="D75" s="2"/>
      <c r="E75" s="2"/>
      <c r="F75" s="2"/>
      <c r="G75" s="2"/>
      <c r="H75" s="2"/>
      <c r="I75" s="2"/>
      <c r="J75" s="2"/>
      <c r="K75" s="2"/>
      <c r="L75" s="2"/>
      <c r="M75" s="2"/>
      <c r="N75" s="19"/>
      <c r="O75" s="19"/>
      <c r="P75" s="19"/>
      <c r="S75" s="19"/>
    </row>
    <row r="76" spans="1:30" ht="19" x14ac:dyDescent="0.25">
      <c r="A76" s="3"/>
      <c r="B76" s="110" t="s">
        <v>383</v>
      </c>
      <c r="C76" s="2"/>
      <c r="D76" s="2"/>
      <c r="E76" s="2"/>
      <c r="F76" s="2"/>
      <c r="G76" s="2"/>
      <c r="H76" s="2"/>
      <c r="I76" s="2"/>
      <c r="J76" s="2"/>
      <c r="K76" s="2"/>
      <c r="L76" s="2"/>
      <c r="M76" s="2"/>
      <c r="N76" s="19"/>
      <c r="O76" s="19"/>
      <c r="P76" s="19"/>
      <c r="S76" s="19"/>
    </row>
    <row r="77" spans="1:30" ht="16" thickBot="1" x14ac:dyDescent="0.25">
      <c r="A77" s="3"/>
      <c r="B77" s="2"/>
      <c r="C77" s="2"/>
      <c r="D77" s="2"/>
      <c r="E77" s="2"/>
      <c r="F77" s="2"/>
      <c r="G77" s="2"/>
      <c r="H77" s="2"/>
      <c r="I77" s="2"/>
      <c r="J77" s="2"/>
      <c r="K77" s="2"/>
      <c r="L77" s="2"/>
      <c r="M77" s="2"/>
      <c r="N77" s="19"/>
      <c r="O77" s="19"/>
      <c r="P77" s="19"/>
      <c r="S77" s="19"/>
    </row>
    <row r="78" spans="1:30" x14ac:dyDescent="0.2">
      <c r="A78" s="3"/>
      <c r="B78" s="121"/>
      <c r="C78" s="113" t="s">
        <v>64</v>
      </c>
      <c r="D78" s="113" t="s">
        <v>82</v>
      </c>
      <c r="E78" s="122" t="s">
        <v>65</v>
      </c>
      <c r="F78" s="15"/>
      <c r="G78" s="15"/>
      <c r="H78" s="15"/>
      <c r="I78" s="317"/>
      <c r="J78" s="2"/>
      <c r="K78" s="2"/>
      <c r="L78" s="2"/>
      <c r="M78" s="2"/>
      <c r="N78" s="19"/>
      <c r="O78" s="19"/>
      <c r="P78" s="19"/>
      <c r="S78" s="19"/>
    </row>
    <row r="79" spans="1:30" ht="16" thickBot="1" x14ac:dyDescent="0.25">
      <c r="A79" s="3"/>
      <c r="B79" s="123" t="s">
        <v>312</v>
      </c>
      <c r="C79" s="363">
        <v>6</v>
      </c>
      <c r="D79" s="363">
        <v>6</v>
      </c>
      <c r="E79" s="364">
        <f>+C79-D79</f>
        <v>0</v>
      </c>
      <c r="F79" s="271"/>
      <c r="G79" s="279"/>
      <c r="H79" s="15"/>
      <c r="I79" s="315"/>
      <c r="J79" s="2"/>
      <c r="K79" s="2"/>
      <c r="L79" s="2"/>
      <c r="M79" s="2"/>
      <c r="N79" s="19"/>
      <c r="O79" s="19"/>
      <c r="P79" s="19"/>
      <c r="S79" s="19"/>
    </row>
    <row r="80" spans="1:30" x14ac:dyDescent="0.2">
      <c r="A80" s="3"/>
      <c r="B80" s="2"/>
      <c r="C80" s="2"/>
      <c r="D80" s="2"/>
      <c r="E80" s="2"/>
      <c r="F80" s="2"/>
      <c r="G80" s="2"/>
      <c r="H80" s="2"/>
      <c r="I80" s="2"/>
      <c r="J80" s="2"/>
      <c r="K80" s="2"/>
      <c r="L80" s="2"/>
      <c r="M80" s="2"/>
      <c r="N80" s="19"/>
      <c r="O80" s="19"/>
      <c r="P80" s="19"/>
      <c r="S80" s="19"/>
    </row>
    <row r="81" spans="1:36" ht="19" x14ac:dyDescent="0.25">
      <c r="A81" s="3"/>
      <c r="B81" s="110" t="s">
        <v>388</v>
      </c>
      <c r="C81" s="2"/>
      <c r="D81" s="2"/>
      <c r="E81" s="2"/>
      <c r="F81" s="2"/>
      <c r="G81" s="2"/>
      <c r="H81" s="2"/>
      <c r="I81" s="2"/>
      <c r="J81" s="2"/>
      <c r="K81" s="2"/>
      <c r="L81" s="2"/>
      <c r="M81" s="2"/>
      <c r="N81" s="19"/>
      <c r="O81" s="19"/>
      <c r="P81" s="19"/>
      <c r="S81" s="19"/>
    </row>
    <row r="82" spans="1:36" ht="16" thickBot="1" x14ac:dyDescent="0.25">
      <c r="A82" s="3"/>
      <c r="B82" s="2"/>
      <c r="C82" s="2"/>
      <c r="D82" s="2"/>
      <c r="E82" s="2"/>
      <c r="F82" s="2"/>
      <c r="G82" s="2"/>
      <c r="H82" s="2"/>
      <c r="I82" s="2"/>
      <c r="J82" s="2"/>
      <c r="K82" s="2"/>
      <c r="L82" s="2"/>
      <c r="M82" s="2"/>
      <c r="N82" s="19"/>
      <c r="O82" s="19"/>
      <c r="P82" s="19"/>
      <c r="S82" s="19"/>
    </row>
    <row r="83" spans="1:36" x14ac:dyDescent="0.2">
      <c r="A83" s="3"/>
      <c r="B83" s="121"/>
      <c r="C83" s="113" t="s">
        <v>292</v>
      </c>
      <c r="D83" s="113" t="s">
        <v>68</v>
      </c>
      <c r="E83" s="113" t="s">
        <v>83</v>
      </c>
      <c r="F83" s="113" t="s">
        <v>69</v>
      </c>
      <c r="G83" s="153" t="s">
        <v>120</v>
      </c>
      <c r="H83" s="280"/>
      <c r="I83" s="317"/>
      <c r="J83" s="2"/>
      <c r="K83" s="2"/>
      <c r="L83" s="2"/>
      <c r="M83" s="2"/>
      <c r="N83" s="19"/>
      <c r="O83" s="19"/>
      <c r="P83" s="19"/>
      <c r="S83" s="19"/>
    </row>
    <row r="84" spans="1:36" ht="16" thickBot="1" x14ac:dyDescent="0.25">
      <c r="A84" s="3"/>
      <c r="B84" s="123" t="s">
        <v>128</v>
      </c>
      <c r="C84" s="363">
        <v>61</v>
      </c>
      <c r="D84" s="363">
        <v>61</v>
      </c>
      <c r="E84" s="363">
        <v>33</v>
      </c>
      <c r="F84" s="363">
        <v>33</v>
      </c>
      <c r="G84" s="365">
        <v>33</v>
      </c>
      <c r="H84" s="318"/>
      <c r="I84" s="297"/>
      <c r="J84" s="2"/>
      <c r="K84" s="2"/>
      <c r="L84" s="2"/>
      <c r="M84" s="2"/>
      <c r="N84" s="19"/>
      <c r="O84" s="19"/>
      <c r="P84" s="19"/>
      <c r="S84" s="19"/>
    </row>
    <row r="85" spans="1:36" x14ac:dyDescent="0.2">
      <c r="A85" s="3"/>
      <c r="B85" s="2"/>
      <c r="C85" s="2"/>
      <c r="D85" s="2"/>
      <c r="E85" s="2"/>
      <c r="F85" s="2"/>
      <c r="G85" s="2"/>
      <c r="H85" s="2"/>
      <c r="J85" s="2"/>
      <c r="K85" s="2"/>
      <c r="L85" s="2"/>
      <c r="M85" s="2"/>
      <c r="N85" s="19"/>
      <c r="O85" s="19"/>
      <c r="P85" s="19"/>
      <c r="S85" s="19"/>
    </row>
    <row r="86" spans="1:36" ht="19" x14ac:dyDescent="0.25">
      <c r="A86" s="3"/>
      <c r="B86" s="110" t="s">
        <v>384</v>
      </c>
      <c r="C86" s="2"/>
      <c r="D86" s="2"/>
      <c r="E86" s="2"/>
      <c r="F86" s="2"/>
      <c r="G86" s="2"/>
      <c r="H86" s="2"/>
      <c r="I86" s="2"/>
      <c r="J86" s="2"/>
      <c r="K86" s="2"/>
      <c r="L86" s="2"/>
      <c r="M86" s="2"/>
      <c r="N86" s="19"/>
      <c r="O86" s="19"/>
      <c r="P86" s="19"/>
      <c r="S86" s="19"/>
    </row>
    <row r="87" spans="1:36" ht="16" thickBot="1" x14ac:dyDescent="0.25">
      <c r="A87" s="3"/>
      <c r="B87" s="2"/>
      <c r="C87" s="2"/>
      <c r="D87" s="2"/>
      <c r="E87" s="2"/>
      <c r="F87" s="2"/>
      <c r="G87" s="2"/>
      <c r="H87" s="2"/>
      <c r="I87" s="2"/>
      <c r="J87" s="2"/>
      <c r="K87" s="2"/>
      <c r="L87" s="2"/>
      <c r="M87" s="2"/>
      <c r="N87" s="19"/>
      <c r="O87" s="19"/>
      <c r="P87" s="19"/>
      <c r="S87" s="19"/>
    </row>
    <row r="88" spans="1:36" x14ac:dyDescent="0.2">
      <c r="A88" s="3"/>
      <c r="B88" s="121"/>
      <c r="C88" s="124" t="s">
        <v>66</v>
      </c>
      <c r="D88" s="124" t="s">
        <v>67</v>
      </c>
      <c r="E88" s="125" t="s">
        <v>289</v>
      </c>
      <c r="F88" s="2"/>
      <c r="G88" s="2"/>
      <c r="H88" s="2"/>
      <c r="I88" s="2"/>
      <c r="J88" s="19"/>
      <c r="K88" s="19"/>
      <c r="L88" s="19"/>
      <c r="N88"/>
      <c r="O88" s="19"/>
      <c r="AG88" s="36"/>
      <c r="AJ88"/>
    </row>
    <row r="89" spans="1:36" x14ac:dyDescent="0.2">
      <c r="A89" s="3"/>
      <c r="B89" s="117" t="s">
        <v>389</v>
      </c>
      <c r="C89" s="263">
        <v>0</v>
      </c>
      <c r="D89" s="265">
        <v>0</v>
      </c>
      <c r="E89" s="319">
        <f>C89-D89</f>
        <v>0</v>
      </c>
      <c r="F89" s="2"/>
      <c r="G89" s="2"/>
      <c r="H89" s="2"/>
      <c r="I89" s="2"/>
      <c r="J89" s="19"/>
      <c r="K89" s="19"/>
      <c r="L89" s="19"/>
      <c r="N89"/>
      <c r="O89" s="19"/>
      <c r="AG89" s="36"/>
      <c r="AJ89"/>
    </row>
    <row r="90" spans="1:36" ht="16" thickBot="1" x14ac:dyDescent="0.25">
      <c r="A90" s="3"/>
      <c r="B90" s="119" t="s">
        <v>390</v>
      </c>
      <c r="C90" s="264">
        <v>0</v>
      </c>
      <c r="D90" s="320">
        <v>0</v>
      </c>
      <c r="E90" s="478">
        <f>C90-D90</f>
        <v>0</v>
      </c>
      <c r="F90" s="2"/>
      <c r="G90" s="2"/>
      <c r="H90" s="2"/>
      <c r="I90" s="2"/>
      <c r="J90" s="19"/>
      <c r="K90" s="19"/>
      <c r="L90" s="19"/>
      <c r="N90"/>
      <c r="O90" s="19"/>
      <c r="AG90" s="36"/>
      <c r="AJ90"/>
    </row>
    <row r="91" spans="1:36" x14ac:dyDescent="0.2">
      <c r="A91" s="3"/>
      <c r="B91" s="2"/>
      <c r="C91" s="2"/>
      <c r="D91" s="2"/>
      <c r="E91" s="2"/>
      <c r="F91" s="2"/>
      <c r="G91" s="2"/>
      <c r="H91" s="2"/>
      <c r="I91" s="2"/>
      <c r="J91" s="2"/>
      <c r="K91" s="2"/>
      <c r="L91" s="2"/>
      <c r="M91" s="2"/>
      <c r="N91" s="19"/>
      <c r="O91" s="19"/>
      <c r="P91" s="19"/>
      <c r="S91" s="19"/>
    </row>
    <row r="92" spans="1:36" ht="19" x14ac:dyDescent="0.25">
      <c r="A92" s="3"/>
      <c r="B92" s="110" t="s">
        <v>391</v>
      </c>
      <c r="C92" s="2"/>
      <c r="D92" s="2"/>
      <c r="E92" s="2"/>
      <c r="F92" s="2"/>
      <c r="G92" s="2"/>
      <c r="H92" s="2"/>
      <c r="I92" s="2"/>
      <c r="J92" s="2"/>
      <c r="K92" s="2"/>
      <c r="L92" s="2"/>
      <c r="M92" s="2"/>
      <c r="N92" s="19"/>
      <c r="O92" s="19"/>
      <c r="P92" s="19"/>
      <c r="S92" s="19"/>
    </row>
    <row r="93" spans="1:36" ht="16" thickBot="1" x14ac:dyDescent="0.25">
      <c r="A93" s="3"/>
      <c r="B93" s="2"/>
      <c r="C93" s="2"/>
      <c r="D93" s="2"/>
      <c r="E93" s="2"/>
      <c r="F93" s="2"/>
      <c r="G93" s="2"/>
      <c r="H93" s="2"/>
      <c r="I93" s="15"/>
      <c r="J93" s="15"/>
      <c r="K93" s="15"/>
      <c r="L93" s="15"/>
      <c r="M93" s="15"/>
      <c r="N93" s="20"/>
      <c r="O93" s="20"/>
      <c r="P93" s="20"/>
      <c r="S93" s="19"/>
    </row>
    <row r="94" spans="1:36" x14ac:dyDescent="0.2">
      <c r="A94" s="3"/>
      <c r="B94" s="223"/>
      <c r="C94" s="382" t="s">
        <v>106</v>
      </c>
      <c r="D94" s="382" t="s">
        <v>107</v>
      </c>
      <c r="E94" s="382" t="s">
        <v>108</v>
      </c>
      <c r="F94" s="382" t="s">
        <v>109</v>
      </c>
      <c r="G94" s="382" t="s">
        <v>121</v>
      </c>
      <c r="H94" s="382" t="s">
        <v>122</v>
      </c>
      <c r="I94" s="382" t="s">
        <v>123</v>
      </c>
      <c r="J94" s="382" t="s">
        <v>124</v>
      </c>
      <c r="K94" s="382" t="s">
        <v>125</v>
      </c>
      <c r="L94" s="382" t="s">
        <v>126</v>
      </c>
      <c r="M94" s="382" t="s">
        <v>127</v>
      </c>
      <c r="N94" s="383" t="s">
        <v>288</v>
      </c>
      <c r="O94" s="20"/>
      <c r="P94" s="20"/>
      <c r="S94" s="19"/>
    </row>
    <row r="95" spans="1:36" ht="15" customHeight="1" x14ac:dyDescent="0.2">
      <c r="A95" s="3"/>
      <c r="B95" s="384" t="s">
        <v>368</v>
      </c>
      <c r="C95" s="366">
        <v>0</v>
      </c>
      <c r="D95" s="366">
        <v>7866505</v>
      </c>
      <c r="E95" s="366">
        <v>7866505</v>
      </c>
      <c r="F95" s="366">
        <v>7866505</v>
      </c>
      <c r="G95" s="366">
        <v>12827440</v>
      </c>
      <c r="H95" s="366">
        <v>4197759</v>
      </c>
      <c r="I95" s="366">
        <v>5454984</v>
      </c>
      <c r="J95" s="366"/>
      <c r="K95" s="366"/>
      <c r="L95" s="366"/>
      <c r="M95" s="366"/>
      <c r="N95" s="479"/>
      <c r="O95" s="20"/>
      <c r="P95" s="20"/>
      <c r="S95" s="19"/>
    </row>
    <row r="96" spans="1:36" ht="15" customHeight="1" x14ac:dyDescent="0.2">
      <c r="A96" s="3"/>
      <c r="B96" s="384" t="s">
        <v>365</v>
      </c>
      <c r="C96" s="366">
        <v>0</v>
      </c>
      <c r="D96" s="366"/>
      <c r="E96" s="366"/>
      <c r="F96" s="366"/>
      <c r="G96" s="366"/>
      <c r="H96" s="366"/>
      <c r="I96" s="366"/>
      <c r="J96" s="366"/>
      <c r="K96" s="366"/>
      <c r="L96" s="366"/>
      <c r="M96" s="366"/>
      <c r="N96" s="479"/>
      <c r="O96" s="20"/>
      <c r="P96" s="20"/>
      <c r="S96" s="19"/>
    </row>
    <row r="97" spans="1:19" ht="15" customHeight="1" x14ac:dyDescent="0.2">
      <c r="A97" s="3"/>
      <c r="B97" s="384" t="s">
        <v>313</v>
      </c>
      <c r="C97" s="366">
        <v>0</v>
      </c>
      <c r="D97" s="366">
        <v>7866505</v>
      </c>
      <c r="E97" s="366">
        <v>7866505</v>
      </c>
      <c r="F97" s="366">
        <v>7866505</v>
      </c>
      <c r="G97" s="366">
        <v>6193448.8799999999</v>
      </c>
      <c r="H97" s="366">
        <v>8393007.1899999995</v>
      </c>
      <c r="I97" s="366">
        <v>4487154.79</v>
      </c>
      <c r="J97" s="366"/>
      <c r="K97" s="366"/>
      <c r="L97" s="366"/>
      <c r="M97" s="366"/>
      <c r="N97" s="479"/>
      <c r="O97" s="20"/>
      <c r="P97" s="20"/>
      <c r="S97" s="19"/>
    </row>
    <row r="98" spans="1:19" ht="15" customHeight="1" x14ac:dyDescent="0.2">
      <c r="A98" s="3"/>
      <c r="B98" s="322" t="s">
        <v>410</v>
      </c>
      <c r="C98" s="367">
        <f>+C95</f>
        <v>0</v>
      </c>
      <c r="D98" s="367">
        <f t="shared" ref="D98:N98" si="3">+C98+D95</f>
        <v>7866505</v>
      </c>
      <c r="E98" s="367">
        <f>+D98+E95</f>
        <v>15733010</v>
      </c>
      <c r="F98" s="367">
        <f t="shared" si="3"/>
        <v>23599515</v>
      </c>
      <c r="G98" s="367">
        <f t="shared" si="3"/>
        <v>36426955</v>
      </c>
      <c r="H98" s="367">
        <f t="shared" si="3"/>
        <v>40624714</v>
      </c>
      <c r="I98" s="367">
        <f t="shared" si="3"/>
        <v>46079698</v>
      </c>
      <c r="J98" s="367">
        <f t="shared" si="3"/>
        <v>46079698</v>
      </c>
      <c r="K98" s="367">
        <f t="shared" si="3"/>
        <v>46079698</v>
      </c>
      <c r="L98" s="367">
        <f t="shared" si="3"/>
        <v>46079698</v>
      </c>
      <c r="M98" s="367">
        <f t="shared" si="3"/>
        <v>46079698</v>
      </c>
      <c r="N98" s="480">
        <f t="shared" si="3"/>
        <v>46079698</v>
      </c>
      <c r="O98" s="20"/>
      <c r="P98" s="20"/>
      <c r="S98" s="19"/>
    </row>
    <row r="99" spans="1:19" ht="15" customHeight="1" x14ac:dyDescent="0.2">
      <c r="A99" s="3"/>
      <c r="B99" s="322" t="s">
        <v>5</v>
      </c>
      <c r="C99" s="367">
        <f>+C96</f>
        <v>0</v>
      </c>
      <c r="D99" s="367">
        <f t="shared" ref="D99:N99" si="4">+C99+D96</f>
        <v>0</v>
      </c>
      <c r="E99" s="367">
        <f>+D99+E96</f>
        <v>0</v>
      </c>
      <c r="F99" s="367">
        <f t="shared" si="4"/>
        <v>0</v>
      </c>
      <c r="G99" s="367">
        <f t="shared" si="4"/>
        <v>0</v>
      </c>
      <c r="H99" s="367">
        <f t="shared" si="4"/>
        <v>0</v>
      </c>
      <c r="I99" s="367">
        <f t="shared" si="4"/>
        <v>0</v>
      </c>
      <c r="J99" s="367">
        <f t="shared" si="4"/>
        <v>0</v>
      </c>
      <c r="K99" s="367">
        <f t="shared" si="4"/>
        <v>0</v>
      </c>
      <c r="L99" s="367">
        <f t="shared" si="4"/>
        <v>0</v>
      </c>
      <c r="M99" s="367">
        <f t="shared" si="4"/>
        <v>0</v>
      </c>
      <c r="N99" s="480">
        <f t="shared" si="4"/>
        <v>0</v>
      </c>
      <c r="O99" s="20"/>
      <c r="P99" s="20"/>
      <c r="S99" s="19"/>
    </row>
    <row r="100" spans="1:19" ht="16" thickBot="1" x14ac:dyDescent="0.25">
      <c r="A100" s="3"/>
      <c r="B100" s="475" t="s">
        <v>6</v>
      </c>
      <c r="C100" s="476">
        <f>+C97</f>
        <v>0</v>
      </c>
      <c r="D100" s="477">
        <f t="shared" ref="D100:N100" si="5">+C100+D97</f>
        <v>7866505</v>
      </c>
      <c r="E100" s="477">
        <f>+D100+E97</f>
        <v>15733010</v>
      </c>
      <c r="F100" s="477">
        <f t="shared" si="5"/>
        <v>23599515</v>
      </c>
      <c r="G100" s="477">
        <f t="shared" si="5"/>
        <v>29792963.879999999</v>
      </c>
      <c r="H100" s="477">
        <f t="shared" si="5"/>
        <v>38185971.07</v>
      </c>
      <c r="I100" s="477">
        <f t="shared" si="5"/>
        <v>42673125.859999999</v>
      </c>
      <c r="J100" s="477">
        <f t="shared" si="5"/>
        <v>42673125.859999999</v>
      </c>
      <c r="K100" s="477">
        <f t="shared" si="5"/>
        <v>42673125.859999999</v>
      </c>
      <c r="L100" s="477">
        <f t="shared" si="5"/>
        <v>42673125.859999999</v>
      </c>
      <c r="M100" s="477">
        <f t="shared" si="5"/>
        <v>42673125.859999999</v>
      </c>
      <c r="N100" s="481">
        <f t="shared" si="5"/>
        <v>42673125.859999999</v>
      </c>
      <c r="O100" s="20"/>
      <c r="P100" s="20"/>
      <c r="S100" s="19"/>
    </row>
    <row r="101" spans="1:19" x14ac:dyDescent="0.2">
      <c r="A101" s="3"/>
      <c r="B101" s="3"/>
      <c r="C101" s="2"/>
      <c r="D101" s="2"/>
      <c r="E101" s="2"/>
      <c r="F101" s="2"/>
      <c r="G101" s="2"/>
      <c r="H101" s="2"/>
      <c r="I101" s="15"/>
      <c r="J101" s="126"/>
      <c r="K101" s="127"/>
      <c r="L101" s="15"/>
      <c r="M101" s="128"/>
      <c r="N101" s="20"/>
      <c r="O101" s="20"/>
      <c r="P101" s="20"/>
      <c r="S101" s="19"/>
    </row>
    <row r="102" spans="1:19" x14ac:dyDescent="0.2">
      <c r="A102" s="3"/>
      <c r="B102" s="2" t="s">
        <v>404</v>
      </c>
      <c r="C102" s="2"/>
      <c r="D102" s="2"/>
      <c r="E102" s="2"/>
      <c r="F102" s="2"/>
      <c r="G102" s="2"/>
      <c r="H102" s="2"/>
      <c r="I102" s="15"/>
      <c r="J102" s="126"/>
      <c r="K102" s="127"/>
      <c r="L102" s="15"/>
      <c r="M102" s="128"/>
      <c r="N102" s="20"/>
      <c r="O102" s="20"/>
      <c r="P102" s="20"/>
      <c r="S102" s="19"/>
    </row>
    <row r="103" spans="1:19" x14ac:dyDescent="0.2">
      <c r="A103" s="3"/>
      <c r="C103" s="2"/>
      <c r="D103" s="2"/>
      <c r="E103" s="2"/>
      <c r="F103" s="2"/>
      <c r="G103" s="2"/>
      <c r="H103" s="2"/>
      <c r="I103" s="15"/>
      <c r="J103" s="126"/>
      <c r="K103" s="128"/>
      <c r="L103" s="15"/>
      <c r="M103" s="128"/>
      <c r="N103" s="20"/>
      <c r="O103" s="20"/>
      <c r="P103" s="20"/>
      <c r="S103" s="19"/>
    </row>
    <row r="104" spans="1:19" x14ac:dyDescent="0.2">
      <c r="A104" s="3"/>
      <c r="B104" s="3"/>
      <c r="C104" s="3"/>
      <c r="D104" s="3"/>
      <c r="E104" s="3"/>
      <c r="F104" s="3"/>
      <c r="G104" s="3"/>
      <c r="H104" s="3"/>
      <c r="I104" s="15"/>
      <c r="J104" s="15"/>
      <c r="K104" s="15"/>
      <c r="L104" s="15"/>
      <c r="M104" s="15"/>
      <c r="N104" s="20"/>
      <c r="O104" s="20"/>
      <c r="P104" s="20"/>
    </row>
    <row r="105" spans="1:19" ht="19" x14ac:dyDescent="0.25">
      <c r="A105" s="3"/>
      <c r="B105" s="110" t="s">
        <v>385</v>
      </c>
      <c r="C105" s="3"/>
      <c r="D105" s="3"/>
      <c r="E105" s="3"/>
      <c r="F105" s="3"/>
      <c r="G105" s="3"/>
      <c r="H105" s="3"/>
      <c r="I105" s="15"/>
      <c r="J105" s="15"/>
      <c r="K105" s="15"/>
      <c r="L105" s="15"/>
      <c r="M105" s="15"/>
      <c r="N105" s="20"/>
      <c r="O105" s="20"/>
      <c r="P105" s="20"/>
    </row>
    <row r="106" spans="1:19" ht="16" thickBot="1" x14ac:dyDescent="0.25">
      <c r="A106" s="3"/>
      <c r="B106" s="3"/>
      <c r="C106" s="15"/>
      <c r="D106" s="15"/>
      <c r="E106" s="15"/>
      <c r="F106" s="15"/>
      <c r="G106" s="2"/>
      <c r="H106" s="2"/>
      <c r="I106" s="2"/>
      <c r="J106" s="15"/>
      <c r="K106" s="2"/>
      <c r="L106" s="15"/>
      <c r="M106" s="15"/>
      <c r="N106" s="20"/>
      <c r="O106" s="20"/>
      <c r="P106" s="20"/>
      <c r="Q106" s="19"/>
      <c r="S106" s="20"/>
    </row>
    <row r="107" spans="1:19" ht="90.75" customHeight="1" x14ac:dyDescent="0.2">
      <c r="A107" s="3"/>
      <c r="B107" s="323" t="s">
        <v>33</v>
      </c>
      <c r="C107" s="324" t="s">
        <v>80</v>
      </c>
      <c r="D107" s="326" t="s">
        <v>367</v>
      </c>
      <c r="E107" s="326" t="s">
        <v>336</v>
      </c>
      <c r="F107" s="325" t="s">
        <v>337</v>
      </c>
      <c r="G107" s="325" t="s">
        <v>338</v>
      </c>
      <c r="H107" s="326" t="s">
        <v>339</v>
      </c>
      <c r="I107" s="326" t="s">
        <v>340</v>
      </c>
      <c r="J107" s="326" t="s">
        <v>341</v>
      </c>
      <c r="K107" s="327" t="s">
        <v>342</v>
      </c>
      <c r="L107" s="2"/>
      <c r="M107" s="20"/>
      <c r="N107" s="20"/>
      <c r="O107" s="20"/>
      <c r="P107" s="19"/>
      <c r="R107" s="20"/>
    </row>
    <row r="108" spans="1:19" x14ac:dyDescent="0.2">
      <c r="A108" s="3"/>
      <c r="B108" s="672" t="s">
        <v>373</v>
      </c>
      <c r="C108" s="416" t="s">
        <v>373</v>
      </c>
      <c r="D108" s="417"/>
      <c r="E108" s="418" t="str">
        <f>IF(ISBLANK(D108),"",D108*30)</f>
        <v/>
      </c>
      <c r="F108" s="368"/>
      <c r="G108" s="369" t="str">
        <f>IF(AND(E108&gt;0,F108&gt;0),(F108*E108),"")</f>
        <v/>
      </c>
      <c r="H108" s="368"/>
      <c r="I108" s="434" t="str">
        <f>IF(AND(G108&gt;0,H108&gt;0),H108/G108,"")</f>
        <v/>
      </c>
      <c r="J108" s="419"/>
      <c r="K108" s="482" t="str">
        <f>IF(AND(I108&gt;0,J108&gt;0),I108-J108,"")</f>
        <v/>
      </c>
      <c r="L108" s="2"/>
      <c r="M108" s="20"/>
      <c r="N108" s="20"/>
      <c r="O108" s="20"/>
      <c r="P108" s="19"/>
      <c r="R108" s="20"/>
    </row>
    <row r="109" spans="1:19" x14ac:dyDescent="0.2">
      <c r="A109" s="3"/>
      <c r="B109" s="673"/>
      <c r="C109" s="416" t="s">
        <v>373</v>
      </c>
      <c r="D109" s="417"/>
      <c r="E109" s="418" t="str">
        <f>IF(ISBLANK(D109),"",D109*30)</f>
        <v/>
      </c>
      <c r="F109" s="368"/>
      <c r="G109" s="369" t="str">
        <f>IF(AND(E109&gt;0,F109&gt;0),(F109*E109),"")</f>
        <v/>
      </c>
      <c r="H109" s="368"/>
      <c r="I109" s="434" t="str">
        <f>IF(AND(G109&gt;0,H109&gt;0),H109/G109,"")</f>
        <v/>
      </c>
      <c r="J109" s="419"/>
      <c r="K109" s="482" t="str">
        <f>IF(AND(I109&gt;0,J109&gt;0),I109-J109,"")</f>
        <v/>
      </c>
      <c r="L109" s="2"/>
      <c r="M109" s="20"/>
      <c r="N109" s="20"/>
      <c r="O109" s="20"/>
      <c r="P109" s="19"/>
    </row>
    <row r="110" spans="1:19" x14ac:dyDescent="0.2">
      <c r="A110" s="3"/>
      <c r="B110" s="673"/>
      <c r="C110" s="416" t="s">
        <v>373</v>
      </c>
      <c r="D110" s="417"/>
      <c r="E110" s="418" t="str">
        <f>IF(ISBLANK(D110),"",D110*30)</f>
        <v/>
      </c>
      <c r="F110" s="368"/>
      <c r="G110" s="369" t="str">
        <f>IF(AND(E110&gt;0,F110&gt;0),(F110*E110),"")</f>
        <v/>
      </c>
      <c r="H110" s="368"/>
      <c r="I110" s="434" t="str">
        <f>IF(AND(G110&gt;0,H110&gt;0),H110/G110,"")</f>
        <v/>
      </c>
      <c r="J110" s="419"/>
      <c r="K110" s="482" t="str">
        <f>IF(AND(I110&gt;0,J110&gt;0),I110-J110,"")</f>
        <v/>
      </c>
      <c r="L110" s="2"/>
      <c r="M110" s="20"/>
      <c r="N110" s="20"/>
      <c r="O110" s="20"/>
      <c r="P110" s="19"/>
      <c r="R110" s="20"/>
    </row>
    <row r="111" spans="1:19" ht="16" thickBot="1" x14ac:dyDescent="0.25">
      <c r="A111" s="3"/>
      <c r="B111" s="674"/>
      <c r="C111" s="420" t="s">
        <v>373</v>
      </c>
      <c r="D111" s="421"/>
      <c r="E111" s="472" t="str">
        <f>IF(ISBLANK(D111),"",D111*30)</f>
        <v/>
      </c>
      <c r="F111" s="370"/>
      <c r="G111" s="473" t="str">
        <f>IF(AND(E111&gt;0,F111&gt;0),(F111*E111),"")</f>
        <v/>
      </c>
      <c r="H111" s="370"/>
      <c r="I111" s="474" t="str">
        <f>IF(AND(G111&gt;0,H111&gt;0),H111/G111,"")</f>
        <v/>
      </c>
      <c r="J111" s="422"/>
      <c r="K111" s="483" t="str">
        <f>IF(AND(I111&gt;0,J111&gt;0),I111-J111,"")</f>
        <v/>
      </c>
      <c r="L111" s="2"/>
      <c r="M111" s="20"/>
      <c r="N111" s="20"/>
      <c r="O111" s="20"/>
      <c r="P111" s="19"/>
      <c r="R111" s="20"/>
    </row>
    <row r="112" spans="1:19" x14ac:dyDescent="0.2">
      <c r="A112" s="3"/>
      <c r="B112" s="3"/>
      <c r="C112" s="3"/>
      <c r="D112" s="3"/>
      <c r="E112" s="3"/>
      <c r="F112" s="3"/>
      <c r="G112" s="2"/>
      <c r="H112" s="2"/>
      <c r="I112" s="2"/>
      <c r="J112" s="3"/>
      <c r="K112" s="3"/>
      <c r="L112" s="2"/>
      <c r="M112" s="2"/>
      <c r="N112" s="20"/>
      <c r="O112" s="20"/>
      <c r="P112" s="20"/>
      <c r="Q112" s="19"/>
      <c r="S112" s="20"/>
    </row>
    <row r="113" spans="1:20" ht="16" thickBot="1" x14ac:dyDescent="0.25">
      <c r="A113" s="3"/>
      <c r="B113" s="3"/>
      <c r="C113" s="3"/>
      <c r="D113" s="3"/>
      <c r="E113" s="3"/>
      <c r="F113" s="3"/>
      <c r="G113" s="3"/>
      <c r="H113" s="3"/>
      <c r="I113" s="2"/>
      <c r="J113" s="109"/>
      <c r="K113" s="109"/>
      <c r="L113" s="3"/>
      <c r="M113" s="3"/>
    </row>
    <row r="114" spans="1:20" ht="23" customHeight="1" thickBot="1" x14ac:dyDescent="0.3">
      <c r="A114" s="3"/>
      <c r="B114" s="243" t="s">
        <v>392</v>
      </c>
      <c r="C114" s="129"/>
      <c r="D114" s="129"/>
      <c r="E114" s="130"/>
      <c r="F114" s="130"/>
      <c r="G114" s="130"/>
      <c r="H114" s="258"/>
      <c r="I114" s="244"/>
      <c r="J114" s="344"/>
      <c r="K114" s="345" t="s">
        <v>371</v>
      </c>
      <c r="L114" s="130"/>
      <c r="M114" s="346"/>
      <c r="N114" s="347"/>
      <c r="O114" s="347"/>
      <c r="P114" s="424"/>
      <c r="Q114" s="36"/>
    </row>
    <row r="115" spans="1:20" ht="16" thickBot="1" x14ac:dyDescent="0.25">
      <c r="A115" s="3"/>
      <c r="B115" s="3"/>
      <c r="C115" s="3"/>
      <c r="D115" s="3"/>
      <c r="E115" s="3"/>
      <c r="F115" s="3"/>
      <c r="G115" s="3"/>
      <c r="H115" s="3" t="s">
        <v>425</v>
      </c>
      <c r="I115" s="3" t="s">
        <v>423</v>
      </c>
      <c r="J115" s="3" t="s">
        <v>426</v>
      </c>
      <c r="K115" s="3" t="s">
        <v>424</v>
      </c>
      <c r="L115" s="3" t="s">
        <v>427</v>
      </c>
      <c r="M115" s="3" t="s">
        <v>428</v>
      </c>
      <c r="N115" t="s">
        <v>429</v>
      </c>
      <c r="O115" t="s">
        <v>430</v>
      </c>
      <c r="P115" s="36" t="s">
        <v>431</v>
      </c>
      <c r="Q115" s="36" t="s">
        <v>432</v>
      </c>
      <c r="R115" t="s">
        <v>433</v>
      </c>
      <c r="S115" t="s">
        <v>434</v>
      </c>
    </row>
    <row r="116" spans="1:20" x14ac:dyDescent="0.2">
      <c r="A116" s="3"/>
      <c r="B116" s="719" t="s">
        <v>398</v>
      </c>
      <c r="C116" s="720"/>
      <c r="D116" s="721"/>
      <c r="E116" s="330" t="s">
        <v>327</v>
      </c>
      <c r="F116" s="285" t="s">
        <v>344</v>
      </c>
      <c r="G116" s="248"/>
      <c r="H116" s="399" t="s">
        <v>106</v>
      </c>
      <c r="I116" s="399" t="s">
        <v>107</v>
      </c>
      <c r="J116" s="399" t="s">
        <v>108</v>
      </c>
      <c r="K116" s="399" t="s">
        <v>109</v>
      </c>
      <c r="L116" s="399" t="s">
        <v>121</v>
      </c>
      <c r="M116" s="399" t="s">
        <v>122</v>
      </c>
      <c r="N116" s="399" t="s">
        <v>123</v>
      </c>
      <c r="O116" s="399" t="s">
        <v>124</v>
      </c>
      <c r="P116" s="399" t="s">
        <v>125</v>
      </c>
      <c r="Q116" s="399" t="s">
        <v>126</v>
      </c>
      <c r="R116" s="399" t="s">
        <v>127</v>
      </c>
      <c r="S116" s="400" t="s">
        <v>288</v>
      </c>
      <c r="T116" s="64"/>
    </row>
    <row r="117" spans="1:20" ht="1.5" customHeight="1" x14ac:dyDescent="0.2">
      <c r="A117" s="3"/>
      <c r="B117" s="450"/>
      <c r="C117" s="451"/>
      <c r="D117" s="451"/>
      <c r="E117" s="452"/>
      <c r="F117" s="453"/>
      <c r="G117" s="454"/>
      <c r="H117" s="455"/>
      <c r="I117" s="455"/>
      <c r="J117" s="455"/>
      <c r="K117" s="455"/>
      <c r="L117" s="455"/>
      <c r="M117" s="455"/>
      <c r="N117" s="455"/>
      <c r="O117" s="455"/>
      <c r="P117" s="455"/>
      <c r="Q117" s="455"/>
      <c r="R117" s="455"/>
      <c r="S117" s="456"/>
      <c r="T117" s="64"/>
    </row>
    <row r="118" spans="1:20" ht="15" customHeight="1" x14ac:dyDescent="0.2">
      <c r="A118" s="704" t="s">
        <v>375</v>
      </c>
      <c r="B118" s="708" t="s">
        <v>414</v>
      </c>
      <c r="C118" s="709"/>
      <c r="D118" s="710"/>
      <c r="E118" s="632"/>
      <c r="F118" s="633" t="s">
        <v>422</v>
      </c>
      <c r="G118" s="249" t="s">
        <v>86</v>
      </c>
      <c r="H118" s="488">
        <v>0.8</v>
      </c>
      <c r="I118" s="488">
        <v>0.8</v>
      </c>
      <c r="J118" s="488">
        <v>0.8</v>
      </c>
      <c r="K118" s="503">
        <v>0.8</v>
      </c>
      <c r="L118" s="503">
        <v>0.61299999999999999</v>
      </c>
      <c r="M118" s="513">
        <v>0.61299999999999999</v>
      </c>
      <c r="N118" s="513">
        <v>0.61299999999999999</v>
      </c>
      <c r="O118" s="133"/>
      <c r="P118" s="133"/>
      <c r="Q118" s="133"/>
      <c r="R118" s="133"/>
      <c r="S118" s="134"/>
      <c r="T118" s="64"/>
    </row>
    <row r="119" spans="1:20" x14ac:dyDescent="0.2">
      <c r="A119" s="704"/>
      <c r="B119" s="711"/>
      <c r="C119" s="712"/>
      <c r="D119" s="713"/>
      <c r="E119" s="632"/>
      <c r="F119" s="634"/>
      <c r="G119" s="249" t="s">
        <v>87</v>
      </c>
      <c r="H119" s="488">
        <v>0.79900000000000004</v>
      </c>
      <c r="I119" s="488">
        <v>0.59499999999999997</v>
      </c>
      <c r="J119" s="488">
        <v>0.57999999999999996</v>
      </c>
      <c r="K119" s="503">
        <v>0.56999999999999995</v>
      </c>
      <c r="L119" s="503">
        <v>0.53500000000000003</v>
      </c>
      <c r="M119" s="513">
        <v>0.53500000000000003</v>
      </c>
      <c r="N119" s="513">
        <v>0.56299999999999994</v>
      </c>
      <c r="O119" s="133"/>
      <c r="P119" s="133"/>
      <c r="Q119" s="133"/>
      <c r="R119" s="133"/>
      <c r="S119" s="134"/>
      <c r="T119" s="64"/>
    </row>
    <row r="120" spans="1:20" ht="15" customHeight="1" x14ac:dyDescent="0.2">
      <c r="A120" s="704"/>
      <c r="B120" s="647" t="s">
        <v>415</v>
      </c>
      <c r="C120" s="648"/>
      <c r="D120" s="649"/>
      <c r="E120" s="637"/>
      <c r="F120" s="635" t="s">
        <v>422</v>
      </c>
      <c r="G120" s="461" t="s">
        <v>86</v>
      </c>
      <c r="H120" s="489">
        <v>0.55000000000000004</v>
      </c>
      <c r="I120" s="489">
        <v>0.55000000000000004</v>
      </c>
      <c r="J120" s="489">
        <v>0.55000000000000004</v>
      </c>
      <c r="K120" s="502">
        <v>0.55000000000000004</v>
      </c>
      <c r="L120" s="502">
        <v>0.60699999999999998</v>
      </c>
      <c r="M120" s="514">
        <v>0.60699999999999998</v>
      </c>
      <c r="N120" s="514">
        <v>0.60699999999999998</v>
      </c>
      <c r="O120" s="245"/>
      <c r="P120" s="245"/>
      <c r="Q120" s="245"/>
      <c r="R120" s="245"/>
      <c r="S120" s="328"/>
      <c r="T120" s="64"/>
    </row>
    <row r="121" spans="1:20" x14ac:dyDescent="0.2">
      <c r="A121" s="704"/>
      <c r="B121" s="647"/>
      <c r="C121" s="648"/>
      <c r="D121" s="649"/>
      <c r="E121" s="637"/>
      <c r="F121" s="636"/>
      <c r="G121" s="461" t="s">
        <v>87</v>
      </c>
      <c r="H121" s="489">
        <v>0.39200000000000002</v>
      </c>
      <c r="I121" s="489">
        <v>0.42</v>
      </c>
      <c r="J121" s="489">
        <v>0.51249999999999996</v>
      </c>
      <c r="K121" s="502">
        <v>0.41</v>
      </c>
      <c r="L121" s="502">
        <v>0.36699999999999999</v>
      </c>
      <c r="M121" s="514">
        <v>0.35699999999999998</v>
      </c>
      <c r="N121" s="514">
        <v>0.40300000000000002</v>
      </c>
      <c r="O121" s="329"/>
      <c r="P121" s="245"/>
      <c r="Q121" s="245"/>
      <c r="R121" s="245"/>
      <c r="S121" s="328"/>
      <c r="T121" s="64"/>
    </row>
    <row r="122" spans="1:20" ht="15" customHeight="1" x14ac:dyDescent="0.2">
      <c r="A122" s="704"/>
      <c r="B122" s="711" t="s">
        <v>416</v>
      </c>
      <c r="C122" s="712"/>
      <c r="D122" s="713"/>
      <c r="E122" s="632"/>
      <c r="F122" s="633" t="s">
        <v>422</v>
      </c>
      <c r="G122" s="249" t="s">
        <v>86</v>
      </c>
      <c r="H122" s="133">
        <v>2692264</v>
      </c>
      <c r="I122" s="133">
        <v>2692264</v>
      </c>
      <c r="J122" s="133">
        <v>5913034</v>
      </c>
      <c r="K122" s="501">
        <v>5913034</v>
      </c>
      <c r="L122" s="507">
        <v>1814467</v>
      </c>
      <c r="M122" s="133">
        <v>1814467</v>
      </c>
      <c r="N122" s="133">
        <v>2331644</v>
      </c>
      <c r="O122" s="133"/>
      <c r="P122" s="133"/>
      <c r="Q122" s="133"/>
      <c r="R122" s="133"/>
      <c r="S122" s="134"/>
      <c r="T122" s="64"/>
    </row>
    <row r="123" spans="1:20" x14ac:dyDescent="0.2">
      <c r="A123" s="704"/>
      <c r="B123" s="711"/>
      <c r="C123" s="712"/>
      <c r="D123" s="713"/>
      <c r="E123" s="632"/>
      <c r="F123" s="634"/>
      <c r="G123" s="249" t="s">
        <v>87</v>
      </c>
      <c r="H123" s="133">
        <v>0</v>
      </c>
      <c r="I123" s="133">
        <v>2942234</v>
      </c>
      <c r="J123" s="133">
        <v>252723</v>
      </c>
      <c r="K123" s="501">
        <v>5129002</v>
      </c>
      <c r="L123" s="508">
        <v>1811109</v>
      </c>
      <c r="M123" s="504">
        <v>1762766</v>
      </c>
      <c r="N123" s="504">
        <v>2440710</v>
      </c>
      <c r="O123" s="133"/>
      <c r="P123" s="133"/>
      <c r="Q123" s="133"/>
      <c r="R123" s="133"/>
      <c r="S123" s="134"/>
      <c r="T123" s="64"/>
    </row>
    <row r="124" spans="1:20" ht="15" customHeight="1" x14ac:dyDescent="0.2">
      <c r="A124" s="3"/>
      <c r="B124" s="647" t="s">
        <v>417</v>
      </c>
      <c r="C124" s="648"/>
      <c r="D124" s="649"/>
      <c r="E124" s="637"/>
      <c r="F124" s="675" t="s">
        <v>422</v>
      </c>
      <c r="G124" s="461" t="s">
        <v>86</v>
      </c>
      <c r="H124" s="490">
        <v>0.92800000000000005</v>
      </c>
      <c r="I124" s="490">
        <v>0.92800000000000005</v>
      </c>
      <c r="J124" s="490">
        <v>0.96499999999999997</v>
      </c>
      <c r="K124" s="500">
        <v>0.96499999999999997</v>
      </c>
      <c r="L124" s="502">
        <v>0.75</v>
      </c>
      <c r="M124" s="514">
        <v>0.75</v>
      </c>
      <c r="N124" s="514">
        <v>0.89700000000000002</v>
      </c>
      <c r="O124" s="245"/>
      <c r="P124" s="245"/>
      <c r="Q124" s="245"/>
      <c r="R124" s="245"/>
      <c r="S124" s="328"/>
      <c r="T124" s="64"/>
    </row>
    <row r="125" spans="1:20" x14ac:dyDescent="0.2">
      <c r="A125" s="3"/>
      <c r="B125" s="647"/>
      <c r="C125" s="648"/>
      <c r="D125" s="649"/>
      <c r="E125" s="637"/>
      <c r="F125" s="636"/>
      <c r="G125" s="461" t="s">
        <v>87</v>
      </c>
      <c r="H125" s="490">
        <v>0</v>
      </c>
      <c r="I125" s="490">
        <v>0.97099999999999997</v>
      </c>
      <c r="J125" s="490">
        <v>0</v>
      </c>
      <c r="K125" s="500">
        <v>0.9</v>
      </c>
      <c r="L125" s="502">
        <v>0.75</v>
      </c>
      <c r="M125" s="514">
        <v>0.747</v>
      </c>
      <c r="N125" s="514">
        <v>0.90069999999999995</v>
      </c>
      <c r="O125" s="245"/>
      <c r="P125" s="245"/>
      <c r="Q125" s="245"/>
      <c r="R125" s="245"/>
      <c r="S125" s="328"/>
      <c r="T125" s="64"/>
    </row>
    <row r="126" spans="1:20" ht="15" customHeight="1" x14ac:dyDescent="0.2">
      <c r="A126" s="3"/>
      <c r="B126" s="663" t="s">
        <v>418</v>
      </c>
      <c r="C126" s="664"/>
      <c r="D126" s="665"/>
      <c r="E126" s="632"/>
      <c r="F126" s="633" t="s">
        <v>115</v>
      </c>
      <c r="G126" s="462" t="s">
        <v>86</v>
      </c>
      <c r="H126" s="491">
        <v>0.7</v>
      </c>
      <c r="I126" s="491">
        <v>0.7</v>
      </c>
      <c r="J126" s="491">
        <v>0.75</v>
      </c>
      <c r="K126" s="499">
        <v>0.75</v>
      </c>
      <c r="L126" s="499">
        <v>0.75</v>
      </c>
      <c r="M126" s="515">
        <v>0.75</v>
      </c>
      <c r="N126" s="515">
        <v>0.75</v>
      </c>
      <c r="O126" s="463"/>
      <c r="P126" s="463"/>
      <c r="Q126" s="463"/>
      <c r="R126" s="463"/>
      <c r="S126" s="464"/>
      <c r="T126" s="64"/>
    </row>
    <row r="127" spans="1:20" x14ac:dyDescent="0.2">
      <c r="A127" s="3"/>
      <c r="B127" s="663"/>
      <c r="C127" s="664"/>
      <c r="D127" s="665"/>
      <c r="E127" s="632"/>
      <c r="F127" s="634"/>
      <c r="G127" s="462" t="s">
        <v>87</v>
      </c>
      <c r="H127" s="491">
        <v>0.90600000000000003</v>
      </c>
      <c r="I127" s="491">
        <v>0.70960000000000001</v>
      </c>
      <c r="J127" s="491">
        <v>0.72699999999999998</v>
      </c>
      <c r="K127" s="499">
        <v>0.74</v>
      </c>
      <c r="L127" s="499">
        <v>0.753</v>
      </c>
      <c r="M127" s="515">
        <v>0.77200000000000002</v>
      </c>
      <c r="N127" s="515">
        <v>0.79</v>
      </c>
      <c r="O127" s="463"/>
      <c r="P127" s="463"/>
      <c r="Q127" s="463"/>
      <c r="R127" s="463"/>
      <c r="S127" s="464"/>
      <c r="T127" s="64"/>
    </row>
    <row r="128" spans="1:20" ht="15" customHeight="1" x14ac:dyDescent="0.2">
      <c r="A128" s="3"/>
      <c r="B128" s="647" t="s">
        <v>419</v>
      </c>
      <c r="C128" s="648"/>
      <c r="D128" s="649"/>
      <c r="E128" s="637"/>
      <c r="F128" s="675" t="s">
        <v>422</v>
      </c>
      <c r="G128" s="461" t="s">
        <v>86</v>
      </c>
      <c r="H128" s="490">
        <v>0</v>
      </c>
      <c r="I128" s="490">
        <v>0</v>
      </c>
      <c r="J128" s="496">
        <v>0.86899999999999999</v>
      </c>
      <c r="K128" s="497">
        <v>0.87</v>
      </c>
      <c r="L128" s="509">
        <v>0</v>
      </c>
      <c r="M128" s="329">
        <v>0</v>
      </c>
      <c r="N128" s="506">
        <v>0.92</v>
      </c>
      <c r="O128" s="329"/>
      <c r="P128" s="329"/>
      <c r="Q128" s="329"/>
      <c r="R128" s="329"/>
      <c r="S128" s="465"/>
      <c r="T128" s="64"/>
    </row>
    <row r="129" spans="1:21" x14ac:dyDescent="0.2">
      <c r="A129" s="3"/>
      <c r="B129" s="647"/>
      <c r="C129" s="648"/>
      <c r="D129" s="649"/>
      <c r="E129" s="637"/>
      <c r="F129" s="636"/>
      <c r="G129" s="461" t="s">
        <v>87</v>
      </c>
      <c r="H129" s="490">
        <v>0</v>
      </c>
      <c r="I129" s="490">
        <v>0</v>
      </c>
      <c r="J129" s="496">
        <v>0</v>
      </c>
      <c r="K129" s="497">
        <v>0.79</v>
      </c>
      <c r="L129" s="510">
        <v>0</v>
      </c>
      <c r="M129" s="245">
        <v>0</v>
      </c>
      <c r="N129" s="506">
        <v>0.80100000000000005</v>
      </c>
      <c r="O129" s="245"/>
      <c r="P129" s="329"/>
      <c r="Q129" s="329"/>
      <c r="R129" s="329"/>
      <c r="S129" s="465"/>
      <c r="T129" s="64"/>
    </row>
    <row r="130" spans="1:21" x14ac:dyDescent="0.2">
      <c r="A130" s="3"/>
      <c r="B130" s="663" t="s">
        <v>420</v>
      </c>
      <c r="C130" s="664"/>
      <c r="D130" s="665"/>
      <c r="E130" s="632"/>
      <c r="F130" s="676" t="s">
        <v>115</v>
      </c>
      <c r="G130" s="462" t="s">
        <v>86</v>
      </c>
      <c r="H130" s="463">
        <v>52963</v>
      </c>
      <c r="I130" s="463">
        <v>105926</v>
      </c>
      <c r="J130" s="463">
        <v>185372</v>
      </c>
      <c r="K130" s="498">
        <v>264817</v>
      </c>
      <c r="L130" s="511" t="s">
        <v>467</v>
      </c>
      <c r="M130" s="463">
        <v>0</v>
      </c>
      <c r="N130" s="516">
        <v>1</v>
      </c>
      <c r="O130" s="463"/>
      <c r="P130" s="463"/>
      <c r="Q130" s="463"/>
      <c r="R130" s="463"/>
      <c r="S130" s="464"/>
      <c r="T130" s="64"/>
    </row>
    <row r="131" spans="1:21" x14ac:dyDescent="0.2">
      <c r="A131" s="3"/>
      <c r="B131" s="663"/>
      <c r="C131" s="664"/>
      <c r="D131" s="665"/>
      <c r="E131" s="632"/>
      <c r="F131" s="676"/>
      <c r="G131" s="462" t="s">
        <v>87</v>
      </c>
      <c r="H131" s="463">
        <v>28163</v>
      </c>
      <c r="I131" s="463">
        <v>59457</v>
      </c>
      <c r="J131" s="463">
        <v>101376</v>
      </c>
      <c r="K131" s="498">
        <v>153057</v>
      </c>
      <c r="L131" s="511" t="s">
        <v>467</v>
      </c>
      <c r="M131" s="463">
        <v>0</v>
      </c>
      <c r="N131" s="516">
        <v>1</v>
      </c>
      <c r="O131" s="463"/>
      <c r="P131" s="463"/>
      <c r="Q131" s="463"/>
      <c r="R131" s="463"/>
      <c r="S131" s="464"/>
      <c r="T131" s="64"/>
    </row>
    <row r="132" spans="1:21" ht="14.25" customHeight="1" x14ac:dyDescent="0.2">
      <c r="A132" s="3"/>
      <c r="B132" s="647" t="s">
        <v>421</v>
      </c>
      <c r="C132" s="648"/>
      <c r="D132" s="649"/>
      <c r="E132" s="637"/>
      <c r="F132" s="661" t="s">
        <v>115</v>
      </c>
      <c r="G132" s="461" t="s">
        <v>86</v>
      </c>
      <c r="H132" s="496">
        <v>1</v>
      </c>
      <c r="I132" s="496">
        <v>1</v>
      </c>
      <c r="J132" s="496">
        <v>1</v>
      </c>
      <c r="K132" s="497">
        <v>1</v>
      </c>
      <c r="L132" s="497">
        <v>1</v>
      </c>
      <c r="M132" s="506">
        <v>1</v>
      </c>
      <c r="N132" s="506">
        <v>1</v>
      </c>
      <c r="O132" s="329"/>
      <c r="P132" s="329"/>
      <c r="Q132" s="329"/>
      <c r="R132" s="329"/>
      <c r="S132" s="465"/>
      <c r="T132" s="64"/>
    </row>
    <row r="133" spans="1:21" x14ac:dyDescent="0.2">
      <c r="A133" s="3"/>
      <c r="B133" s="647"/>
      <c r="C133" s="648"/>
      <c r="D133" s="649"/>
      <c r="E133" s="637"/>
      <c r="F133" s="661"/>
      <c r="G133" s="461" t="s">
        <v>87</v>
      </c>
      <c r="H133" s="496">
        <v>1</v>
      </c>
      <c r="I133" s="496">
        <v>1</v>
      </c>
      <c r="J133" s="496">
        <v>1</v>
      </c>
      <c r="K133" s="497">
        <v>1</v>
      </c>
      <c r="L133" s="497">
        <v>1</v>
      </c>
      <c r="M133" s="506">
        <v>1</v>
      </c>
      <c r="N133" s="506">
        <v>1</v>
      </c>
      <c r="O133" s="329"/>
      <c r="P133" s="329"/>
      <c r="Q133" s="329"/>
      <c r="R133" s="329"/>
      <c r="S133" s="465"/>
      <c r="T133" s="64"/>
    </row>
    <row r="134" spans="1:21" ht="14.25" customHeight="1" x14ac:dyDescent="0.2">
      <c r="A134" s="3"/>
      <c r="B134" s="663"/>
      <c r="C134" s="664"/>
      <c r="D134" s="665"/>
      <c r="E134" s="632"/>
      <c r="F134" s="659" t="s">
        <v>115</v>
      </c>
      <c r="G134" s="462" t="s">
        <v>86</v>
      </c>
      <c r="H134" s="463"/>
      <c r="I134" s="463"/>
      <c r="J134" s="463"/>
      <c r="K134" s="463"/>
      <c r="L134" s="512"/>
      <c r="M134" s="463"/>
      <c r="N134" s="463"/>
      <c r="O134" s="463"/>
      <c r="P134" s="463"/>
      <c r="Q134" s="463"/>
      <c r="R134" s="463"/>
      <c r="S134" s="464"/>
      <c r="T134" s="64"/>
    </row>
    <row r="135" spans="1:21" x14ac:dyDescent="0.2">
      <c r="A135" s="3"/>
      <c r="B135" s="663"/>
      <c r="C135" s="664"/>
      <c r="D135" s="665"/>
      <c r="E135" s="632"/>
      <c r="F135" s="659"/>
      <c r="G135" s="462" t="s">
        <v>87</v>
      </c>
      <c r="H135" s="463"/>
      <c r="I135" s="463"/>
      <c r="J135" s="463"/>
      <c r="K135" s="463"/>
      <c r="L135" s="463"/>
      <c r="M135" s="463"/>
      <c r="N135" s="463"/>
      <c r="O135" s="463"/>
      <c r="P135" s="463"/>
      <c r="Q135" s="463"/>
      <c r="R135" s="463"/>
      <c r="S135" s="464"/>
      <c r="T135" s="64"/>
    </row>
    <row r="136" spans="1:21" ht="14.25" customHeight="1" x14ac:dyDescent="0.2">
      <c r="A136" s="3"/>
      <c r="B136" s="647"/>
      <c r="C136" s="648"/>
      <c r="D136" s="649"/>
      <c r="E136" s="637"/>
      <c r="F136" s="661" t="s">
        <v>115</v>
      </c>
      <c r="G136" s="461" t="s">
        <v>86</v>
      </c>
      <c r="H136" s="329"/>
      <c r="I136" s="329"/>
      <c r="J136" s="329"/>
      <c r="K136" s="329"/>
      <c r="L136" s="329"/>
      <c r="M136" s="329"/>
      <c r="N136" s="329"/>
      <c r="O136" s="329"/>
      <c r="P136" s="329"/>
      <c r="Q136" s="329"/>
      <c r="R136" s="329"/>
      <c r="S136" s="465"/>
      <c r="T136" s="64"/>
    </row>
    <row r="137" spans="1:21" ht="16" thickBot="1" x14ac:dyDescent="0.25">
      <c r="A137" s="3"/>
      <c r="B137" s="650"/>
      <c r="C137" s="651"/>
      <c r="D137" s="652"/>
      <c r="E137" s="660"/>
      <c r="F137" s="662"/>
      <c r="G137" s="466" t="s">
        <v>87</v>
      </c>
      <c r="H137" s="467"/>
      <c r="I137" s="467"/>
      <c r="J137" s="467"/>
      <c r="K137" s="467"/>
      <c r="L137" s="467"/>
      <c r="M137" s="467"/>
      <c r="N137" s="467"/>
      <c r="O137" s="467"/>
      <c r="P137" s="467"/>
      <c r="Q137" s="467"/>
      <c r="R137" s="467"/>
      <c r="S137" s="468"/>
      <c r="T137" s="64"/>
    </row>
    <row r="138" spans="1:21" x14ac:dyDescent="0.2">
      <c r="A138" s="3"/>
      <c r="B138" s="3"/>
      <c r="C138" s="3"/>
      <c r="D138" s="3"/>
      <c r="E138" s="3"/>
      <c r="F138" s="3"/>
      <c r="G138" s="2"/>
      <c r="H138" s="3"/>
      <c r="I138" s="3"/>
      <c r="J138" s="3"/>
      <c r="K138" s="3"/>
      <c r="L138" s="3"/>
      <c r="M138" s="3"/>
      <c r="N138" s="3"/>
      <c r="O138" s="3"/>
      <c r="R138" s="36"/>
      <c r="S138" s="36"/>
    </row>
    <row r="139" spans="1:21" x14ac:dyDescent="0.2">
      <c r="A139" s="3"/>
      <c r="B139" s="3"/>
      <c r="C139" s="3"/>
      <c r="D139" s="3"/>
      <c r="E139" s="3"/>
      <c r="F139" s="3"/>
      <c r="G139" s="2"/>
      <c r="H139" s="3"/>
      <c r="I139" s="3"/>
      <c r="J139" s="3"/>
      <c r="K139" s="3"/>
      <c r="L139" s="3"/>
      <c r="M139" s="3"/>
      <c r="N139" s="3"/>
      <c r="O139" s="3"/>
      <c r="R139" s="36"/>
      <c r="S139" s="36"/>
    </row>
    <row r="140" spans="1:21" x14ac:dyDescent="0.2">
      <c r="A140" s="3"/>
      <c r="B140" s="3"/>
      <c r="C140" s="3"/>
      <c r="D140" s="3"/>
      <c r="E140" s="3"/>
      <c r="F140" s="3"/>
      <c r="G140" s="2"/>
      <c r="H140" s="3"/>
      <c r="I140" s="3"/>
      <c r="J140" s="3"/>
      <c r="K140" s="3"/>
      <c r="L140" s="3"/>
      <c r="M140" s="3"/>
      <c r="N140" s="3"/>
      <c r="O140" s="3"/>
      <c r="R140" s="36"/>
      <c r="S140" s="36"/>
    </row>
    <row r="141" spans="1:21" ht="17" thickBot="1" x14ac:dyDescent="0.25">
      <c r="A141" s="3"/>
      <c r="B141" s="332"/>
      <c r="C141" s="3"/>
      <c r="D141" s="3"/>
      <c r="E141" s="3"/>
      <c r="F141" s="3"/>
      <c r="G141" s="2"/>
      <c r="H141" s="3"/>
      <c r="I141" s="3"/>
      <c r="J141" s="3"/>
      <c r="K141" s="3"/>
      <c r="L141" s="3"/>
      <c r="M141" s="3"/>
      <c r="N141" s="3"/>
      <c r="O141" s="3"/>
      <c r="R141" s="36"/>
      <c r="S141" s="36"/>
    </row>
    <row r="142" spans="1:21" ht="16" thickBot="1" x14ac:dyDescent="0.25">
      <c r="A142" s="3"/>
      <c r="B142" s="3" t="s">
        <v>405</v>
      </c>
      <c r="C142" s="3"/>
      <c r="D142" s="3"/>
      <c r="E142" s="330" t="s">
        <v>327</v>
      </c>
      <c r="F142" s="285" t="s">
        <v>344</v>
      </c>
      <c r="G142" s="248"/>
      <c r="H142" s="399" t="str">
        <f t="shared" ref="H142:S142" si="6">C30</f>
        <v>P1</v>
      </c>
      <c r="I142" s="399" t="str">
        <f t="shared" si="6"/>
        <v>P2</v>
      </c>
      <c r="J142" s="399" t="str">
        <f t="shared" si="6"/>
        <v>P3</v>
      </c>
      <c r="K142" s="399" t="str">
        <f t="shared" si="6"/>
        <v>P4</v>
      </c>
      <c r="L142" s="399" t="str">
        <f t="shared" si="6"/>
        <v>P5</v>
      </c>
      <c r="M142" s="399" t="str">
        <f t="shared" si="6"/>
        <v>P6</v>
      </c>
      <c r="N142" s="399" t="str">
        <f t="shared" si="6"/>
        <v>P7</v>
      </c>
      <c r="O142" s="399" t="str">
        <f t="shared" si="6"/>
        <v>P8</v>
      </c>
      <c r="P142" s="399" t="str">
        <f t="shared" si="6"/>
        <v>P9</v>
      </c>
      <c r="Q142" s="399" t="str">
        <f t="shared" si="6"/>
        <v>P10</v>
      </c>
      <c r="R142" s="399" t="str">
        <f t="shared" si="6"/>
        <v>P11</v>
      </c>
      <c r="S142" s="400" t="str">
        <f t="shared" si="6"/>
        <v>P12</v>
      </c>
      <c r="T142" s="36"/>
      <c r="U142" s="36"/>
    </row>
    <row r="143" spans="1:21" x14ac:dyDescent="0.2">
      <c r="A143" s="3"/>
      <c r="B143" s="677" t="str">
        <f>IF(ISBLANK(B118),"",(B118))</f>
        <v>Pr1. Proportion of estimated malaria cases (presumed and confirmed) that received first line anti-malarial treatment at health facilities</v>
      </c>
      <c r="C143" s="678"/>
      <c r="D143" s="679"/>
      <c r="E143" s="655" t="str">
        <f>IF(ISBLANK(E118),"",(E118))</f>
        <v/>
      </c>
      <c r="F143" s="657" t="str">
        <f>IF(ISBLANK(F118),"",(F118))</f>
        <v>No</v>
      </c>
      <c r="G143" s="358" t="s">
        <v>86</v>
      </c>
      <c r="H143" s="492">
        <f t="shared" ref="H143:S143" si="7">H118</f>
        <v>0.8</v>
      </c>
      <c r="I143" s="432">
        <f t="shared" si="7"/>
        <v>0.8</v>
      </c>
      <c r="J143" s="432">
        <f t="shared" si="7"/>
        <v>0.8</v>
      </c>
      <c r="K143" s="432">
        <f t="shared" si="7"/>
        <v>0.8</v>
      </c>
      <c r="L143" s="432">
        <f t="shared" si="7"/>
        <v>0.61299999999999999</v>
      </c>
      <c r="M143" s="432">
        <f t="shared" si="7"/>
        <v>0.61299999999999999</v>
      </c>
      <c r="N143" s="432">
        <f t="shared" si="7"/>
        <v>0.61299999999999999</v>
      </c>
      <c r="O143" s="432">
        <f t="shared" si="7"/>
        <v>0</v>
      </c>
      <c r="P143" s="432">
        <f t="shared" si="7"/>
        <v>0</v>
      </c>
      <c r="Q143" s="432">
        <f t="shared" si="7"/>
        <v>0</v>
      </c>
      <c r="R143" s="432">
        <f t="shared" si="7"/>
        <v>0</v>
      </c>
      <c r="S143" s="484">
        <f t="shared" si="7"/>
        <v>0</v>
      </c>
      <c r="T143" s="36"/>
      <c r="U143" s="36"/>
    </row>
    <row r="144" spans="1:21" x14ac:dyDescent="0.2">
      <c r="A144" s="3"/>
      <c r="B144" s="680"/>
      <c r="C144" s="681"/>
      <c r="D144" s="682"/>
      <c r="E144" s="655"/>
      <c r="F144" s="657"/>
      <c r="G144" s="131" t="s">
        <v>87</v>
      </c>
      <c r="H144" s="492">
        <f t="shared" ref="H144:K148" si="8">H119</f>
        <v>0.79900000000000004</v>
      </c>
      <c r="I144" s="432">
        <f t="shared" si="8"/>
        <v>0.59499999999999997</v>
      </c>
      <c r="J144" s="432">
        <f t="shared" si="8"/>
        <v>0.57999999999999996</v>
      </c>
      <c r="K144" s="432">
        <f t="shared" si="8"/>
        <v>0.56999999999999995</v>
      </c>
      <c r="L144" s="432">
        <f t="shared" ref="L144:S144" si="9">L119</f>
        <v>0.53500000000000003</v>
      </c>
      <c r="M144" s="432">
        <f t="shared" si="9"/>
        <v>0.53500000000000003</v>
      </c>
      <c r="N144" s="432">
        <f t="shared" si="9"/>
        <v>0.56299999999999994</v>
      </c>
      <c r="O144" s="432">
        <f t="shared" si="9"/>
        <v>0</v>
      </c>
      <c r="P144" s="432">
        <f t="shared" si="9"/>
        <v>0</v>
      </c>
      <c r="Q144" s="432">
        <f t="shared" si="9"/>
        <v>0</v>
      </c>
      <c r="R144" s="432">
        <f t="shared" si="9"/>
        <v>0</v>
      </c>
      <c r="S144" s="484">
        <f t="shared" si="9"/>
        <v>0</v>
      </c>
      <c r="T144" s="36"/>
      <c r="U144" s="36"/>
    </row>
    <row r="145" spans="1:21" x14ac:dyDescent="0.2">
      <c r="A145" s="3"/>
      <c r="B145" s="683" t="str">
        <f>IF(ISBLANK(B120),"",(B120))</f>
        <v>Pr2. %  Proportion of pregnant women attending antenatal clinics who received three or more doses of intermittent preventive treatment (IPTp) for malaria</v>
      </c>
      <c r="C145" s="684"/>
      <c r="D145" s="685"/>
      <c r="E145" s="653" t="str">
        <f>IF(ISBLANK(E120),"",(E120))</f>
        <v/>
      </c>
      <c r="F145" s="654" t="str">
        <f>IF(ISBLANK(F120),"",(F120))</f>
        <v>No</v>
      </c>
      <c r="G145" s="469" t="s">
        <v>86</v>
      </c>
      <c r="H145" s="493">
        <f t="shared" si="8"/>
        <v>0.55000000000000004</v>
      </c>
      <c r="I145" s="470">
        <f>I120</f>
        <v>0.55000000000000004</v>
      </c>
      <c r="J145" s="470">
        <f t="shared" si="8"/>
        <v>0.55000000000000004</v>
      </c>
      <c r="K145" s="470">
        <f>K120</f>
        <v>0.55000000000000004</v>
      </c>
      <c r="L145" s="470">
        <f t="shared" ref="L145:S145" si="10">L120</f>
        <v>0.60699999999999998</v>
      </c>
      <c r="M145" s="470">
        <f t="shared" si="10"/>
        <v>0.60699999999999998</v>
      </c>
      <c r="N145" s="470">
        <f t="shared" si="10"/>
        <v>0.60699999999999998</v>
      </c>
      <c r="O145" s="470">
        <f t="shared" si="10"/>
        <v>0</v>
      </c>
      <c r="P145" s="470">
        <f t="shared" si="10"/>
        <v>0</v>
      </c>
      <c r="Q145" s="470">
        <f t="shared" si="10"/>
        <v>0</v>
      </c>
      <c r="R145" s="470">
        <f t="shared" si="10"/>
        <v>0</v>
      </c>
      <c r="S145" s="485">
        <f t="shared" si="10"/>
        <v>0</v>
      </c>
      <c r="T145" s="36"/>
      <c r="U145" s="36"/>
    </row>
    <row r="146" spans="1:21" x14ac:dyDescent="0.2">
      <c r="A146" s="3"/>
      <c r="B146" s="683"/>
      <c r="C146" s="684"/>
      <c r="D146" s="685"/>
      <c r="E146" s="653"/>
      <c r="F146" s="654"/>
      <c r="G146" s="469" t="s">
        <v>87</v>
      </c>
      <c r="H146" s="470">
        <f t="shared" si="8"/>
        <v>0.39200000000000002</v>
      </c>
      <c r="I146" s="470">
        <f t="shared" si="8"/>
        <v>0.42</v>
      </c>
      <c r="J146" s="470">
        <f t="shared" si="8"/>
        <v>0.51249999999999996</v>
      </c>
      <c r="K146" s="470">
        <f t="shared" si="8"/>
        <v>0.41</v>
      </c>
      <c r="L146" s="470">
        <f t="shared" ref="L146:S146" si="11">L121</f>
        <v>0.36699999999999999</v>
      </c>
      <c r="M146" s="470">
        <f t="shared" si="11"/>
        <v>0.35699999999999998</v>
      </c>
      <c r="N146" s="470">
        <f t="shared" si="11"/>
        <v>0.40300000000000002</v>
      </c>
      <c r="O146" s="470">
        <f t="shared" si="11"/>
        <v>0</v>
      </c>
      <c r="P146" s="470">
        <f t="shared" si="11"/>
        <v>0</v>
      </c>
      <c r="Q146" s="470">
        <f t="shared" si="11"/>
        <v>0</v>
      </c>
      <c r="R146" s="470">
        <f t="shared" si="11"/>
        <v>0</v>
      </c>
      <c r="S146" s="485">
        <f t="shared" si="11"/>
        <v>0</v>
      </c>
      <c r="T146" s="36"/>
      <c r="U146" s="36"/>
    </row>
    <row r="147" spans="1:21" x14ac:dyDescent="0.2">
      <c r="A147" s="3"/>
      <c r="B147" s="641" t="str">
        <f>IF(ISBLANK(B122),"",(B122))</f>
        <v>Pr3. Number of long-lasting insecticidal nets distributed to at-risk populations through mass campaigns</v>
      </c>
      <c r="C147" s="642"/>
      <c r="D147" s="643"/>
      <c r="E147" s="655" t="str">
        <f>IF(ISBLANK(E122),"",(E122))</f>
        <v/>
      </c>
      <c r="F147" s="657" t="str">
        <f>IF(ISBLANK(F122),"",(F122))</f>
        <v>No</v>
      </c>
      <c r="G147" s="131" t="s">
        <v>86</v>
      </c>
      <c r="H147" s="432">
        <f t="shared" si="8"/>
        <v>2692264</v>
      </c>
      <c r="I147" s="432">
        <f t="shared" si="8"/>
        <v>2692264</v>
      </c>
      <c r="J147" s="432">
        <f t="shared" si="8"/>
        <v>5913034</v>
      </c>
      <c r="K147" s="432">
        <f t="shared" si="8"/>
        <v>5913034</v>
      </c>
      <c r="L147" s="432">
        <f t="shared" ref="L147:S147" si="12">L122</f>
        <v>1814467</v>
      </c>
      <c r="M147" s="432">
        <f t="shared" si="12"/>
        <v>1814467</v>
      </c>
      <c r="N147" s="432">
        <f t="shared" si="12"/>
        <v>2331644</v>
      </c>
      <c r="O147" s="432">
        <f t="shared" si="12"/>
        <v>0</v>
      </c>
      <c r="P147" s="432">
        <f t="shared" si="12"/>
        <v>0</v>
      </c>
      <c r="Q147" s="432">
        <f t="shared" si="12"/>
        <v>0</v>
      </c>
      <c r="R147" s="432">
        <f t="shared" si="12"/>
        <v>0</v>
      </c>
      <c r="S147" s="484">
        <f t="shared" si="12"/>
        <v>0</v>
      </c>
      <c r="T147" s="36"/>
      <c r="U147" s="36"/>
    </row>
    <row r="148" spans="1:21" ht="16" thickBot="1" x14ac:dyDescent="0.25">
      <c r="A148" s="3"/>
      <c r="B148" s="644"/>
      <c r="C148" s="645"/>
      <c r="D148" s="646"/>
      <c r="E148" s="656"/>
      <c r="F148" s="658"/>
      <c r="G148" s="132" t="s">
        <v>87</v>
      </c>
      <c r="H148" s="433">
        <f t="shared" si="8"/>
        <v>0</v>
      </c>
      <c r="I148" s="433">
        <f t="shared" si="8"/>
        <v>2942234</v>
      </c>
      <c r="J148" s="433">
        <f t="shared" si="8"/>
        <v>252723</v>
      </c>
      <c r="K148" s="433">
        <f t="shared" si="8"/>
        <v>5129002</v>
      </c>
      <c r="L148" s="433">
        <f t="shared" ref="L148:S148" si="13">L123</f>
        <v>1811109</v>
      </c>
      <c r="M148" s="433">
        <f t="shared" si="13"/>
        <v>1762766</v>
      </c>
      <c r="N148" s="433">
        <f t="shared" si="13"/>
        <v>2440710</v>
      </c>
      <c r="O148" s="433">
        <f t="shared" si="13"/>
        <v>0</v>
      </c>
      <c r="P148" s="433">
        <f t="shared" si="13"/>
        <v>0</v>
      </c>
      <c r="Q148" s="433">
        <f t="shared" si="13"/>
        <v>0</v>
      </c>
      <c r="R148" s="433">
        <f t="shared" si="13"/>
        <v>0</v>
      </c>
      <c r="S148" s="486">
        <f t="shared" si="13"/>
        <v>0</v>
      </c>
      <c r="T148" s="36"/>
      <c r="U148" s="36"/>
    </row>
    <row r="149" spans="1:21" x14ac:dyDescent="0.2">
      <c r="A149" s="3"/>
      <c r="B149" s="3"/>
      <c r="C149" s="3"/>
      <c r="D149" s="3"/>
      <c r="E149" s="3"/>
      <c r="F149" s="3"/>
      <c r="G149" s="3"/>
      <c r="H149" s="3"/>
      <c r="I149" s="3"/>
      <c r="J149" s="3"/>
      <c r="K149" s="3"/>
      <c r="L149" s="3"/>
      <c r="M149" s="3"/>
      <c r="N149"/>
      <c r="O149"/>
      <c r="P149" s="36"/>
      <c r="Q149" s="36"/>
      <c r="S149" s="471"/>
    </row>
    <row r="150" spans="1:21" x14ac:dyDescent="0.2">
      <c r="N150"/>
      <c r="O150"/>
      <c r="P150" s="36"/>
      <c r="Q150" s="36"/>
    </row>
    <row r="151" spans="1:21" x14ac:dyDescent="0.2">
      <c r="N151"/>
      <c r="O151"/>
      <c r="P151" s="36"/>
      <c r="Q151" s="36"/>
    </row>
    <row r="152" spans="1:21" x14ac:dyDescent="0.2">
      <c r="N152"/>
      <c r="O152"/>
      <c r="P152" s="36"/>
      <c r="Q152" s="36"/>
    </row>
  </sheetData>
  <mergeCells count="73">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 ref="B2:J2"/>
    <mergeCell ref="C4:D4"/>
    <mergeCell ref="E4:F4"/>
    <mergeCell ref="G4:J4"/>
    <mergeCell ref="H16:I16"/>
    <mergeCell ref="C6:D6"/>
    <mergeCell ref="E6:F6"/>
    <mergeCell ref="I6:J6"/>
    <mergeCell ref="G12:J12"/>
    <mergeCell ref="G10:J10"/>
    <mergeCell ref="B18:C18"/>
    <mergeCell ref="E10:F10"/>
    <mergeCell ref="I8:J8"/>
    <mergeCell ref="C10:D10"/>
    <mergeCell ref="E12:F12"/>
    <mergeCell ref="C8:D8"/>
    <mergeCell ref="B14:J14"/>
    <mergeCell ref="B145:D146"/>
    <mergeCell ref="B128:D129"/>
    <mergeCell ref="B130:D131"/>
    <mergeCell ref="B132:D133"/>
    <mergeCell ref="B134:D135"/>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O31:O34"/>
    <mergeCell ref="E118:E119"/>
    <mergeCell ref="F118:F119"/>
    <mergeCell ref="F120:F121"/>
    <mergeCell ref="E120:E121"/>
    <mergeCell ref="F47:I47"/>
  </mergeCells>
  <phoneticPr fontId="30" type="noConversion"/>
  <conditionalFormatting sqref="B34 B32 C32:D33 C31 D32:H32 E33:N33">
    <cfRule type="expression" dxfId="41" priority="2" stopIfTrue="1">
      <formula>+AND(#REF!&gt;=#REF!,#REF!&lt;=#REF!)</formula>
    </cfRule>
  </conditionalFormatting>
  <conditionalFormatting sqref="C34:N34">
    <cfRule type="expression" dxfId="40" priority="3" stopIfTrue="1">
      <formula>+AND(#REF!&gt;=#REF!,#REF!&lt;=#REF!)</formula>
    </cfRule>
  </conditionalFormatting>
  <conditionalFormatting sqref="C30:N30 C94:N94">
    <cfRule type="cellIs" dxfId="39" priority="6" stopIfTrue="1" operator="equal">
      <formula>$C$16</formula>
    </cfRule>
  </conditionalFormatting>
  <conditionalFormatting sqref="C12:D12">
    <cfRule type="cellIs" dxfId="38" priority="8" stopIfTrue="1" operator="equal">
      <formula>"C"</formula>
    </cfRule>
    <cfRule type="cellIs" dxfId="37" priority="9" stopIfTrue="1" operator="equal">
      <formula>"B2"</formula>
    </cfRule>
    <cfRule type="cellIs" dxfId="36" priority="10" stopIfTrue="1" operator="equal">
      <formula>"B1"</formula>
    </cfRule>
  </conditionalFormatting>
  <conditionalFormatting sqref="H116:S117 H142:S142">
    <cfRule type="cellIs" dxfId="35" priority="17" stopIfTrue="1" operator="equal">
      <formula>$C$16</formula>
    </cfRule>
  </conditionalFormatting>
  <conditionalFormatting sqref="F47:I47">
    <cfRule type="expression" dxfId="34" priority="18" stopIfTrue="1">
      <formula>LEFT($F$47,2)="OK"</formula>
    </cfRule>
  </conditionalFormatting>
  <conditionalFormatting sqref="D31">
    <cfRule type="expression" dxfId="33"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orientation="landscape"/>
  <headerFooter>
    <oddFooter>&amp;L&amp;F&amp;C&amp;A&amp;RV1.0          &amp;D</oddFooter>
  </headerFooter>
  <rowBreaks count="1" manualBreakCount="1">
    <brk id="48" max="16383" man="1"/>
  </rowBreaks>
  <ignoredErrors>
    <ignoredError sqref="H142:S142 E143" unlockedFormula="1"/>
  </ignoredErrors>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51"/>
  </sheetPr>
  <dimension ref="A1:X18"/>
  <sheetViews>
    <sheetView showGridLines="0" topLeftCell="A3" zoomScale="110" zoomScaleNormal="110" zoomScaleSheetLayoutView="100" zoomScalePageLayoutView="110" workbookViewId="0">
      <selection activeCell="G13" sqref="G13:J13"/>
    </sheetView>
  </sheetViews>
  <sheetFormatPr baseColWidth="10" defaultColWidth="11.5" defaultRowHeight="15" x14ac:dyDescent="0.2"/>
  <cols>
    <col min="1" max="1" width="21.1640625" style="3" customWidth="1"/>
    <col min="2" max="2" width="12.5" style="3" customWidth="1"/>
    <col min="3" max="3" width="20.5" style="3" customWidth="1"/>
    <col min="4" max="4" width="15.33203125" style="3" customWidth="1"/>
    <col min="5" max="5" width="11.6640625" style="3" customWidth="1"/>
    <col min="6" max="6" width="10.6640625" style="3" customWidth="1"/>
    <col min="7" max="7" width="11.6640625" style="3" customWidth="1"/>
    <col min="8" max="8" width="15" style="3" customWidth="1"/>
    <col min="9" max="9" width="9.5" style="3" customWidth="1"/>
    <col min="10" max="10" width="13" style="3" customWidth="1"/>
    <col min="11" max="11" width="11.5" style="3" customWidth="1"/>
    <col min="12" max="12" width="8.1640625" style="3" customWidth="1"/>
    <col min="13" max="13" width="9.6640625" style="3" customWidth="1"/>
    <col min="14" max="14" width="8.5" style="3" customWidth="1"/>
    <col min="15" max="15" width="7.1640625" style="3" customWidth="1"/>
    <col min="16" max="16384" width="11.5" style="3"/>
  </cols>
  <sheetData>
    <row r="1" spans="1:24" ht="21" customHeight="1" x14ac:dyDescent="0.2">
      <c r="A1" s="2"/>
      <c r="B1" s="2"/>
      <c r="C1" s="2"/>
      <c r="D1" s="2"/>
      <c r="E1" s="2"/>
      <c r="F1" s="2"/>
      <c r="G1" s="277"/>
      <c r="H1" s="2"/>
      <c r="I1" s="2"/>
      <c r="J1" s="2"/>
    </row>
    <row r="2" spans="1:24" ht="25.5" customHeight="1" x14ac:dyDescent="0.2"/>
    <row r="3" spans="1:24" ht="37" x14ac:dyDescent="0.2">
      <c r="B3" s="729" t="str">
        <f>+"Dashboard: "&amp;" "&amp;+IF('Data Entry'!C4="Please Select","",'Data Entry'!C4&amp;" - ")&amp;+IF('Data Entry'!G6="Please Select","",'Data Entry'!G6)</f>
        <v>Dashboard:  Ghana - MALARIA</v>
      </c>
      <c r="C3" s="729"/>
      <c r="D3" s="729"/>
      <c r="E3" s="729"/>
      <c r="F3" s="729"/>
      <c r="G3" s="729"/>
      <c r="H3" s="729"/>
      <c r="I3" s="729"/>
      <c r="J3" s="729"/>
      <c r="K3" s="4"/>
      <c r="L3" s="4"/>
      <c r="M3" s="4"/>
      <c r="N3" s="5"/>
      <c r="O3" s="5"/>
      <c r="P3" s="5"/>
      <c r="Q3" s="5"/>
      <c r="R3" s="5"/>
      <c r="S3" s="5"/>
      <c r="T3" s="5"/>
    </row>
    <row r="4" spans="1:24" ht="15" customHeight="1" x14ac:dyDescent="0.2">
      <c r="L4" s="5"/>
      <c r="M4" s="5"/>
      <c r="N4" s="5"/>
      <c r="O4" s="5"/>
      <c r="P4" s="5"/>
      <c r="Q4" s="5"/>
      <c r="R4" s="5"/>
      <c r="S4" s="5"/>
      <c r="T4" s="5"/>
    </row>
    <row r="5" spans="1:24" x14ac:dyDescent="0.2">
      <c r="L5" s="5"/>
      <c r="M5" s="5"/>
      <c r="N5" s="5"/>
      <c r="O5" s="5"/>
      <c r="P5" s="5"/>
      <c r="Q5" s="5"/>
      <c r="R5" s="5"/>
      <c r="S5" s="5"/>
      <c r="T5" s="5"/>
    </row>
    <row r="6" spans="1:24" ht="32.25" customHeight="1" x14ac:dyDescent="0.2">
      <c r="A6" s="270" t="s">
        <v>26</v>
      </c>
      <c r="B6" s="730" t="str">
        <f>+IF('Data Entry'!C4="Please Select","",'Data Entry'!C4)</f>
        <v>Ghana</v>
      </c>
      <c r="C6" s="730"/>
      <c r="D6" s="733" t="s">
        <v>12</v>
      </c>
      <c r="E6" s="733"/>
      <c r="F6" s="734" t="str">
        <f>+'Data Entry'!G4</f>
        <v>Accelerating access to Prevention, treatment and home based care for malaria and increasing the access to affordable ACTs in the private Sector</v>
      </c>
      <c r="G6" s="734"/>
      <c r="H6" s="734"/>
      <c r="I6" s="734"/>
      <c r="J6" s="734"/>
      <c r="K6" s="50"/>
      <c r="L6" s="82"/>
      <c r="M6" s="50"/>
      <c r="N6" s="50"/>
      <c r="O6" s="50"/>
      <c r="P6" s="51"/>
      <c r="Q6" s="17"/>
      <c r="R6" s="17"/>
      <c r="S6" s="17"/>
      <c r="T6" s="17"/>
      <c r="U6" s="17"/>
    </row>
    <row r="7" spans="1:24" ht="8.25" customHeight="1" x14ac:dyDescent="0.25">
      <c r="B7" s="6"/>
      <c r="C7" s="7"/>
      <c r="D7" s="7"/>
      <c r="E7" s="8"/>
      <c r="F7" s="8"/>
      <c r="G7" s="9"/>
      <c r="H7" s="9"/>
      <c r="K7" s="50"/>
      <c r="L7" s="50"/>
      <c r="M7" s="50"/>
      <c r="N7" s="50"/>
      <c r="O7" s="50"/>
      <c r="P7" s="51"/>
      <c r="Q7" s="17"/>
      <c r="R7" s="17"/>
      <c r="S7" s="17"/>
      <c r="T7" s="17"/>
      <c r="U7" s="17"/>
    </row>
    <row r="8" spans="1:24" ht="3.75" customHeight="1" x14ac:dyDescent="0.2">
      <c r="C8" s="10"/>
      <c r="D8" s="10"/>
      <c r="E8" s="10"/>
      <c r="F8" s="10"/>
      <c r="G8" s="10"/>
      <c r="H8" s="10"/>
      <c r="I8" s="10"/>
      <c r="J8" s="10"/>
      <c r="K8" s="50"/>
      <c r="L8" s="50"/>
      <c r="M8" s="50"/>
      <c r="N8" s="50"/>
      <c r="O8" s="52"/>
      <c r="P8" s="51"/>
      <c r="Q8" s="52"/>
      <c r="R8" s="53"/>
      <c r="S8" s="17"/>
      <c r="T8" s="17"/>
      <c r="U8" s="17"/>
    </row>
    <row r="9" spans="1:24" ht="25.5" customHeight="1" x14ac:dyDescent="0.2">
      <c r="A9" s="388" t="s">
        <v>27</v>
      </c>
      <c r="B9" s="349" t="str">
        <f>+IF('Data Entry'!G6="Please Select","",'Data Entry'!G6)</f>
        <v>MALARIA</v>
      </c>
      <c r="C9" s="228" t="s">
        <v>328</v>
      </c>
      <c r="D9" s="350" t="str">
        <f>+'Data Entry'!C6</f>
        <v>GHA-MOH-M</v>
      </c>
      <c r="E9" s="732" t="s">
        <v>13</v>
      </c>
      <c r="F9" s="732"/>
      <c r="G9" s="351">
        <f>+IF(ISBLANK('Data Entry'!C10),"",'Data Entry'!C10)</f>
        <v>42064</v>
      </c>
      <c r="H9" s="388" t="s">
        <v>329</v>
      </c>
      <c r="I9" s="731">
        <f>+IF(ISBLANK('Data Entry'!I6),"",'Data Entry'!I6)</f>
        <v>118095102</v>
      </c>
      <c r="J9" s="731"/>
      <c r="K9" s="50"/>
      <c r="L9" s="50"/>
      <c r="M9" s="50"/>
      <c r="N9" s="50"/>
      <c r="O9" s="52"/>
      <c r="P9" s="51"/>
      <c r="Q9" s="52"/>
      <c r="R9" s="53"/>
      <c r="S9" s="17"/>
      <c r="T9" s="11"/>
      <c r="U9" s="11"/>
      <c r="V9" s="10"/>
      <c r="W9" s="10"/>
      <c r="X9" s="10"/>
    </row>
    <row r="10" spans="1:24" ht="25.5" customHeight="1" x14ac:dyDescent="0.2">
      <c r="A10" s="388" t="s">
        <v>323</v>
      </c>
      <c r="B10" s="352" t="str">
        <f>+IF('Data Entry'!G8="Please Select","",'Data Entry'!G8)</f>
        <v/>
      </c>
      <c r="C10" s="228" t="s">
        <v>322</v>
      </c>
      <c r="D10" s="353" t="str">
        <f>+IF('Data Entry'!I8="Please Select","",'Data Entry'!I8)</f>
        <v/>
      </c>
      <c r="E10" s="725" t="s">
        <v>269</v>
      </c>
      <c r="F10" s="725"/>
      <c r="G10" s="724" t="str">
        <f>+'Data Entry'!C8</f>
        <v>MOH</v>
      </c>
      <c r="H10" s="724"/>
      <c r="I10" s="724"/>
      <c r="J10" s="724"/>
      <c r="K10" s="54"/>
      <c r="L10" s="54"/>
      <c r="M10" s="50"/>
      <c r="N10" s="54"/>
      <c r="O10" s="52"/>
      <c r="P10" s="51"/>
      <c r="Q10" s="11"/>
      <c r="R10" s="53"/>
      <c r="S10" s="17"/>
      <c r="T10" s="11"/>
      <c r="U10" s="11"/>
    </row>
    <row r="11" spans="1:24" ht="25.5" customHeight="1" x14ac:dyDescent="0.2">
      <c r="A11" s="388" t="s">
        <v>21</v>
      </c>
      <c r="B11" s="354" t="str">
        <f>+'Data Entry'!C16</f>
        <v>P7</v>
      </c>
      <c r="C11" s="335" t="s">
        <v>267</v>
      </c>
      <c r="D11" s="355" t="str">
        <f>+IF(ISBLANK('Data Entry'!E16),"",'Data Entry'!E16)</f>
        <v>July</v>
      </c>
      <c r="E11" s="732" t="s">
        <v>22</v>
      </c>
      <c r="F11" s="732"/>
      <c r="G11" s="355" t="str">
        <f>+IF(ISBLANK('Data Entry'!G16),"",'Data Entry'!G16)</f>
        <v>Sept</v>
      </c>
      <c r="H11" s="388" t="s">
        <v>29</v>
      </c>
      <c r="I11" s="726" t="str">
        <f>+IF('Data Entry'!C12="Please Select","",'Data Entry'!C12)</f>
        <v>B1</v>
      </c>
      <c r="J11" s="726"/>
      <c r="K11" s="276"/>
      <c r="L11" s="54"/>
      <c r="M11" s="50"/>
      <c r="N11" s="54"/>
      <c r="O11" s="54"/>
      <c r="P11" s="51"/>
      <c r="Q11" s="11"/>
      <c r="R11" s="53"/>
      <c r="S11" s="17"/>
      <c r="T11" s="12"/>
      <c r="U11" s="11"/>
    </row>
    <row r="12" spans="1:24" ht="25.5" customHeight="1" x14ac:dyDescent="0.2">
      <c r="A12" s="388" t="s">
        <v>31</v>
      </c>
      <c r="B12" s="724" t="str">
        <f>+IF('Data Entry'!G10="Please Select","",'Data Entry'!G10)</f>
        <v>PwC (PricewaterhouseCoopers)</v>
      </c>
      <c r="C12" s="724"/>
      <c r="D12" s="724"/>
      <c r="E12" s="725" t="s">
        <v>290</v>
      </c>
      <c r="F12" s="725"/>
      <c r="G12" s="724" t="str">
        <f>+'Data Entry'!G12</f>
        <v>Mark Saafield</v>
      </c>
      <c r="H12" s="724"/>
      <c r="I12" s="724"/>
      <c r="J12" s="724"/>
      <c r="K12" s="54"/>
      <c r="L12" s="54"/>
      <c r="M12" s="50"/>
      <c r="N12" s="54"/>
      <c r="O12" s="17"/>
      <c r="P12" s="51"/>
      <c r="Q12" s="11"/>
      <c r="R12" s="53"/>
      <c r="S12" s="17"/>
      <c r="T12" s="11"/>
      <c r="U12" s="55"/>
      <c r="V12" s="11"/>
      <c r="W12" s="12"/>
      <c r="X12" s="11"/>
    </row>
    <row r="13" spans="1:24" ht="25.5" customHeight="1" x14ac:dyDescent="0.2">
      <c r="A13" s="388" t="s">
        <v>32</v>
      </c>
      <c r="B13" s="724" t="str">
        <f>+'Data Entry'!D18</f>
        <v>Whajib and Joel</v>
      </c>
      <c r="C13" s="724"/>
      <c r="D13" s="724"/>
      <c r="E13" s="725" t="s">
        <v>30</v>
      </c>
      <c r="F13" s="725"/>
      <c r="G13" s="727">
        <f>+IF(ISBLANK('Data Entry'!J16),"",'Data Entry'!J16)</f>
        <v>42689</v>
      </c>
      <c r="H13" s="728"/>
      <c r="I13" s="728"/>
      <c r="J13" s="728"/>
      <c r="K13" s="17"/>
      <c r="L13" s="18"/>
      <c r="M13" s="18"/>
      <c r="N13" s="18"/>
      <c r="O13" s="17"/>
      <c r="P13" s="18"/>
      <c r="Q13" s="18"/>
      <c r="R13" s="53"/>
      <c r="S13" s="17"/>
      <c r="T13" s="18"/>
      <c r="U13" s="56"/>
    </row>
    <row r="14" spans="1:24" x14ac:dyDescent="0.2">
      <c r="A14" s="14"/>
      <c r="B14" s="14"/>
      <c r="C14" s="16"/>
      <c r="D14" s="16"/>
      <c r="E14" s="16"/>
      <c r="F14" s="16"/>
      <c r="L14" s="13"/>
      <c r="M14" s="13"/>
      <c r="N14" s="13"/>
      <c r="O14" s="13"/>
      <c r="P14" s="13"/>
      <c r="Q14" s="13"/>
      <c r="R14" s="13"/>
      <c r="S14" s="13"/>
      <c r="T14" s="13"/>
      <c r="U14" s="13"/>
    </row>
    <row r="15" spans="1:24" x14ac:dyDescent="0.2">
      <c r="A15" s="16"/>
      <c r="B15" s="16"/>
      <c r="C15" s="16"/>
      <c r="D15" s="16"/>
      <c r="E15" s="16"/>
      <c r="F15" s="16"/>
      <c r="L15" s="13"/>
      <c r="M15" s="13"/>
      <c r="N15" s="13"/>
      <c r="O15" s="13"/>
      <c r="P15" s="13"/>
      <c r="Q15" s="13"/>
      <c r="R15" s="13"/>
      <c r="S15" s="13"/>
      <c r="T15" s="13"/>
      <c r="U15" s="13"/>
    </row>
    <row r="16" spans="1:24" x14ac:dyDescent="0.2">
      <c r="A16" s="16"/>
      <c r="B16" s="16"/>
      <c r="C16" s="237"/>
      <c r="D16" s="16"/>
      <c r="E16" s="389"/>
      <c r="F16" s="15"/>
      <c r="L16" s="13"/>
      <c r="M16" s="13"/>
      <c r="N16" s="13"/>
      <c r="O16" s="13"/>
      <c r="P16" s="13"/>
      <c r="Q16" s="13"/>
      <c r="R16" s="13"/>
      <c r="S16" s="13"/>
      <c r="T16" s="13"/>
      <c r="U16" s="13"/>
    </row>
    <row r="17" spans="1:6" x14ac:dyDescent="0.2">
      <c r="A17" s="16"/>
      <c r="B17" s="16"/>
      <c r="C17" s="16"/>
      <c r="D17" s="16"/>
      <c r="E17" s="16"/>
      <c r="F17" s="15"/>
    </row>
    <row r="18" spans="1:6" x14ac:dyDescent="0.2">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1"/>
  </sheetPr>
  <dimension ref="A1:O34"/>
  <sheetViews>
    <sheetView showGridLines="0" topLeftCell="A21" zoomScale="160" zoomScaleNormal="160" zoomScalePageLayoutView="160" workbookViewId="0">
      <selection activeCell="C3" sqref="C3:D3"/>
    </sheetView>
  </sheetViews>
  <sheetFormatPr baseColWidth="10" defaultColWidth="11" defaultRowHeight="15" x14ac:dyDescent="0.2"/>
  <cols>
    <col min="1" max="1" width="3.5" customWidth="1"/>
    <col min="2" max="2" width="11.33203125" customWidth="1"/>
    <col min="3" max="3" width="5.1640625" customWidth="1"/>
    <col min="4" max="4" width="12.5" customWidth="1"/>
    <col min="5" max="5" width="11.5" customWidth="1"/>
    <col min="6" max="6" width="14.33203125" customWidth="1"/>
    <col min="7" max="7" width="3.83203125" customWidth="1"/>
    <col min="8" max="8" width="10.5" customWidth="1"/>
    <col min="9" max="9" width="14.6640625" customWidth="1"/>
    <col min="10" max="10" width="12" customWidth="1"/>
    <col min="11" max="11" width="11.6640625" customWidth="1"/>
  </cols>
  <sheetData>
    <row r="1" spans="2:15" ht="30.75" customHeight="1" x14ac:dyDescent="0.2">
      <c r="B1" s="3"/>
      <c r="C1" s="3"/>
      <c r="D1" s="3"/>
      <c r="E1" s="3"/>
      <c r="F1" s="3"/>
      <c r="G1" s="3"/>
      <c r="H1" s="3"/>
      <c r="I1" s="3"/>
      <c r="J1" s="3"/>
      <c r="K1" s="3"/>
    </row>
    <row r="2" spans="2:15" ht="27.75" customHeight="1" x14ac:dyDescent="0.2">
      <c r="B2" s="686" t="str">
        <f>+"Dashboard:  "&amp;"  "&amp;IF(+'Data Entry'!C4="Please Select","",'Data Entry'!C4&amp;" - ")&amp;IF('Data Entry'!G6="Please Select","",'Data Entry'!G6)</f>
        <v>Dashboard:    Ghana - MALARIA</v>
      </c>
      <c r="C2" s="686"/>
      <c r="D2" s="686"/>
      <c r="E2" s="686"/>
      <c r="F2" s="686"/>
      <c r="G2" s="686"/>
      <c r="H2" s="686"/>
      <c r="I2" s="686"/>
      <c r="J2" s="686"/>
      <c r="K2" s="686"/>
      <c r="L2" s="1"/>
      <c r="M2" s="1"/>
      <c r="N2" s="1"/>
      <c r="O2" s="1"/>
    </row>
    <row r="3" spans="2:15" x14ac:dyDescent="0.2">
      <c r="B3" s="135" t="str">
        <f>+IF('Data Entry'!G8="Please Select","",'Data Entry'!G8)</f>
        <v/>
      </c>
      <c r="C3" s="743" t="str">
        <f>+IF('Data Entry'!I8="Please Select","",'Data Entry'!I8)</f>
        <v/>
      </c>
      <c r="D3" s="743"/>
      <c r="E3" s="742"/>
      <c r="F3" s="742"/>
      <c r="G3" s="742"/>
      <c r="H3" s="742"/>
      <c r="I3" s="740" t="str">
        <f>+'Data Entry'!B16</f>
        <v>Report Period:</v>
      </c>
      <c r="J3" s="740"/>
      <c r="K3" s="201" t="str">
        <f>+'Data Entry'!C16</f>
        <v>P7</v>
      </c>
      <c r="L3" s="83"/>
    </row>
    <row r="4" spans="2:15" x14ac:dyDescent="0.2">
      <c r="B4" s="135" t="str">
        <f>+'Data Entry'!B12</f>
        <v>Latest Rating:</v>
      </c>
      <c r="C4" s="744" t="str">
        <f>+IF('Data Entry'!C12="Please Select","",'Data Entry'!C12)</f>
        <v>B1</v>
      </c>
      <c r="D4" s="744"/>
      <c r="E4" s="742" t="str">
        <f>+'Data Entry'!C8</f>
        <v>MOH</v>
      </c>
      <c r="F4" s="742"/>
      <c r="G4" s="742"/>
      <c r="H4" s="742"/>
      <c r="I4" s="740" t="str">
        <f>+'Data Entry'!D16</f>
        <v>From:</v>
      </c>
      <c r="J4" s="741"/>
      <c r="K4" s="203" t="str">
        <f>+IF(ISBLANK('Data Entry'!E16),"",'Data Entry'!E16)</f>
        <v>July</v>
      </c>
    </row>
    <row r="5" spans="2:15" ht="18.75" customHeight="1" x14ac:dyDescent="0.2">
      <c r="B5" s="135"/>
      <c r="C5" s="135"/>
      <c r="D5" s="739" t="str">
        <f>+'Data Entry'!G4</f>
        <v>Accelerating access to Prevention, treatment and home based care for malaria and increasing the access to affordable ACTs in the private Sector</v>
      </c>
      <c r="E5" s="739"/>
      <c r="F5" s="739"/>
      <c r="G5" s="739"/>
      <c r="H5" s="739"/>
      <c r="I5" s="739"/>
      <c r="J5" s="135" t="str">
        <f>+'Data Entry'!F16</f>
        <v>To:</v>
      </c>
      <c r="K5" s="203" t="str">
        <f>+IF(ISBLANK('Data Entry'!G16),"",'Data Entry'!G16)</f>
        <v>Sept</v>
      </c>
    </row>
    <row r="6" spans="2:15" ht="19" x14ac:dyDescent="0.25">
      <c r="B6" s="139"/>
      <c r="C6" s="135"/>
      <c r="D6" s="136"/>
      <c r="E6" s="745" t="s">
        <v>63</v>
      </c>
      <c r="F6" s="745"/>
      <c r="G6" s="745"/>
      <c r="H6" s="745"/>
      <c r="I6" s="3"/>
      <c r="J6" s="3"/>
      <c r="K6" s="3"/>
    </row>
    <row r="7" spans="2:15" ht="10.5" customHeight="1" x14ac:dyDescent="0.25">
      <c r="B7" s="140"/>
      <c r="C7" s="141"/>
      <c r="D7" s="142"/>
      <c r="E7" s="143"/>
      <c r="F7" s="143"/>
      <c r="G7" s="144"/>
      <c r="H7" s="144"/>
      <c r="I7" s="138"/>
      <c r="J7" s="138"/>
      <c r="K7" s="137"/>
    </row>
    <row r="8" spans="2:15" x14ac:dyDescent="0.2">
      <c r="B8" s="206" t="str">
        <f>+'Data Entry'!B27&amp; " - in ("&amp;'Data Entry'!D26&amp;")         "&amp;+I3&amp;" "&amp;+K3</f>
        <v>F1: Budget and disbursements by Global Fund - in ($)         Report Period: P7</v>
      </c>
      <c r="C8" s="145"/>
      <c r="D8" s="2"/>
      <c r="E8" s="2"/>
      <c r="F8" s="2"/>
      <c r="H8" s="206" t="str">
        <f>+'Data Entry'!B49&amp; " - in ("&amp;'Data Entry'!D26&amp;")         "&amp;+I3&amp;" "&amp;+K3</f>
        <v>F3: Disbursements and expenditures - in ($)         Report Period: P7</v>
      </c>
      <c r="I8" s="3"/>
      <c r="J8" s="3"/>
      <c r="K8" s="3"/>
    </row>
    <row r="9" spans="2:15" x14ac:dyDescent="0.2">
      <c r="B9" s="359" t="s">
        <v>9</v>
      </c>
      <c r="C9" s="751" t="s">
        <v>463</v>
      </c>
      <c r="D9" s="752"/>
      <c r="E9" s="752"/>
      <c r="F9" s="753"/>
      <c r="H9" s="360" t="s">
        <v>9</v>
      </c>
      <c r="I9" s="754" t="s">
        <v>464</v>
      </c>
      <c r="J9" s="752"/>
      <c r="K9" s="753"/>
    </row>
    <row r="10" spans="2:15" x14ac:dyDescent="0.2">
      <c r="B10" s="2"/>
      <c r="C10" s="2"/>
      <c r="D10" s="2"/>
      <c r="E10" s="2"/>
      <c r="F10" s="2"/>
      <c r="G10" s="3"/>
      <c r="H10" s="3"/>
      <c r="I10" s="3"/>
      <c r="J10" s="3"/>
      <c r="K10" s="3"/>
    </row>
    <row r="11" spans="2:15" x14ac:dyDescent="0.2">
      <c r="B11" s="2"/>
      <c r="C11" s="2"/>
      <c r="D11" s="2"/>
      <c r="E11" s="2"/>
      <c r="F11" s="2"/>
      <c r="G11" s="3"/>
      <c r="H11" s="3"/>
      <c r="I11" s="3"/>
      <c r="J11" s="3"/>
      <c r="K11" s="3"/>
    </row>
    <row r="12" spans="2:15" x14ac:dyDescent="0.2">
      <c r="B12" s="2"/>
      <c r="C12" s="2"/>
      <c r="D12" s="2"/>
      <c r="E12" s="2"/>
      <c r="F12" s="2"/>
      <c r="G12" s="3"/>
      <c r="H12" s="3"/>
      <c r="I12" s="3"/>
      <c r="J12" s="3"/>
      <c r="K12" s="3"/>
    </row>
    <row r="13" spans="2:15" x14ac:dyDescent="0.2">
      <c r="B13" s="2"/>
      <c r="C13" s="2"/>
      <c r="D13" s="2"/>
      <c r="E13" s="2"/>
      <c r="F13" s="2"/>
      <c r="G13" s="3"/>
      <c r="H13" s="3"/>
      <c r="I13" s="3"/>
      <c r="J13" s="3"/>
      <c r="K13" s="3"/>
    </row>
    <row r="14" spans="2:15" x14ac:dyDescent="0.2">
      <c r="B14" s="2"/>
      <c r="C14" s="2"/>
      <c r="D14" s="2"/>
      <c r="E14" s="2"/>
      <c r="F14" s="2"/>
      <c r="G14" s="3"/>
      <c r="H14" s="3"/>
      <c r="I14" s="3"/>
      <c r="J14" s="3"/>
      <c r="K14" s="3"/>
    </row>
    <row r="15" spans="2:15" x14ac:dyDescent="0.2">
      <c r="B15" s="2"/>
      <c r="C15" s="2"/>
      <c r="D15" s="2"/>
      <c r="E15" s="2"/>
      <c r="F15" s="2"/>
      <c r="G15" s="3"/>
      <c r="H15" s="3"/>
      <c r="I15" s="3"/>
      <c r="J15" s="3"/>
      <c r="K15" s="3"/>
    </row>
    <row r="16" spans="2:15" x14ac:dyDescent="0.2">
      <c r="B16" s="2"/>
      <c r="C16" s="2"/>
      <c r="D16" s="2"/>
      <c r="E16" s="2"/>
      <c r="F16" s="2"/>
      <c r="G16" s="3"/>
      <c r="H16" s="3"/>
      <c r="I16" s="3"/>
      <c r="J16" s="3"/>
      <c r="K16" s="3"/>
    </row>
    <row r="17" spans="1:11" x14ac:dyDescent="0.2">
      <c r="B17" s="2"/>
      <c r="C17" s="2"/>
      <c r="D17" s="2"/>
      <c r="E17" s="2"/>
      <c r="F17" s="2"/>
      <c r="G17" s="3"/>
      <c r="H17" s="3"/>
      <c r="I17" s="3"/>
      <c r="J17" s="3"/>
      <c r="K17" s="3"/>
    </row>
    <row r="18" spans="1:11" x14ac:dyDescent="0.2">
      <c r="B18" s="2"/>
      <c r="C18" s="2"/>
      <c r="D18" s="2"/>
      <c r="E18" s="2"/>
      <c r="F18" s="2"/>
      <c r="G18" s="3"/>
      <c r="H18" s="3"/>
      <c r="I18" s="3"/>
      <c r="J18" s="3"/>
      <c r="K18" s="3"/>
    </row>
    <row r="19" spans="1:11" x14ac:dyDescent="0.2">
      <c r="B19" s="2"/>
      <c r="C19" s="2"/>
      <c r="D19" s="2"/>
      <c r="E19" s="2"/>
      <c r="F19" s="2"/>
      <c r="G19" s="3"/>
      <c r="H19" s="3"/>
      <c r="I19" s="3"/>
      <c r="J19" s="3"/>
      <c r="K19" s="3"/>
    </row>
    <row r="20" spans="1:11" x14ac:dyDescent="0.2">
      <c r="B20" s="2"/>
      <c r="C20" s="2"/>
      <c r="D20" s="2"/>
      <c r="E20" s="2"/>
      <c r="F20" s="2"/>
      <c r="G20" s="3"/>
      <c r="H20" s="3"/>
      <c r="I20" s="3"/>
      <c r="J20" s="3"/>
      <c r="K20" s="3"/>
    </row>
    <row r="21" spans="1:11" x14ac:dyDescent="0.2">
      <c r="A21" s="19"/>
      <c r="B21" s="19"/>
      <c r="C21" s="19"/>
      <c r="D21" s="19"/>
      <c r="E21" s="19"/>
      <c r="F21" s="19"/>
      <c r="G21" s="19"/>
      <c r="H21" s="19"/>
      <c r="I21" s="19"/>
      <c r="J21" s="19"/>
      <c r="K21" s="19"/>
    </row>
    <row r="22" spans="1:11" ht="17.25" customHeight="1" x14ac:dyDescent="0.2">
      <c r="B22" s="207" t="str">
        <f>+'Data Entry'!B36&amp; " - in ("&amp;'Data Entry'!D26&amp;")  "&amp;+I3&amp;" "&amp;+K3</f>
        <v>F2: Budget and actual expenditures by Grant Objective - in ($)  Report Period: P7</v>
      </c>
      <c r="C22" s="2"/>
      <c r="D22" s="2"/>
      <c r="E22" s="2"/>
      <c r="F22" s="2"/>
      <c r="H22" s="207" t="str">
        <f>+'Data Entry'!B58&amp;"      "&amp;+I3&amp;" "&amp;+K3</f>
        <v>F4: Latest PR reporting and disbursement cycle      Report Period: P7</v>
      </c>
      <c r="J22" s="3"/>
      <c r="K22" s="3"/>
    </row>
    <row r="23" spans="1:11" x14ac:dyDescent="0.2">
      <c r="B23" s="360" t="s">
        <v>10</v>
      </c>
      <c r="C23" s="754"/>
      <c r="D23" s="752"/>
      <c r="E23" s="752"/>
      <c r="F23" s="753"/>
      <c r="G23" s="385"/>
      <c r="H23" s="360" t="s">
        <v>9</v>
      </c>
      <c r="I23" s="754"/>
      <c r="J23" s="755"/>
      <c r="K23" s="756"/>
    </row>
    <row r="24" spans="1:11" ht="16" thickBot="1" x14ac:dyDescent="0.25">
      <c r="B24" s="216"/>
      <c r="C24" s="216"/>
      <c r="D24" s="216"/>
      <c r="E24" s="216"/>
      <c r="F24" s="216"/>
      <c r="G24" s="216"/>
      <c r="H24" s="217"/>
      <c r="I24" s="217"/>
      <c r="J24" s="216"/>
      <c r="K24" s="216"/>
    </row>
    <row r="25" spans="1:11" ht="29.25" customHeight="1" thickBot="1" x14ac:dyDescent="0.25">
      <c r="B25" s="3"/>
      <c r="C25" s="3"/>
      <c r="D25" s="3"/>
      <c r="E25" s="3"/>
      <c r="F25" s="3"/>
      <c r="G25" s="333"/>
      <c r="H25" s="746" t="s">
        <v>308</v>
      </c>
      <c r="I25" s="747"/>
      <c r="J25" s="747"/>
      <c r="K25" s="748"/>
    </row>
    <row r="26" spans="1:11" x14ac:dyDescent="0.2">
      <c r="B26" s="3"/>
      <c r="C26" s="3"/>
      <c r="D26" s="3"/>
      <c r="E26" s="3"/>
      <c r="F26" s="3"/>
      <c r="G26" s="293"/>
      <c r="H26" s="749"/>
      <c r="I26" s="750"/>
      <c r="J26" s="310" t="s">
        <v>61</v>
      </c>
      <c r="K26" s="311" t="s">
        <v>62</v>
      </c>
    </row>
    <row r="27" spans="1:11" ht="23.25" customHeight="1" x14ac:dyDescent="0.2">
      <c r="B27" s="3"/>
      <c r="C27" s="3"/>
      <c r="D27" s="3"/>
      <c r="E27" s="3"/>
      <c r="F27" s="3"/>
      <c r="G27" s="334"/>
      <c r="H27" s="735" t="str">
        <f>'Data Entry'!B62</f>
        <v>Days taken to submit final PU/DR to LFA</v>
      </c>
      <c r="I27" s="736"/>
      <c r="J27" s="312">
        <f>+'Data Entry'!C62</f>
        <v>45</v>
      </c>
      <c r="K27" s="309">
        <f>+'Data Entry'!D62</f>
        <v>45</v>
      </c>
    </row>
    <row r="28" spans="1:11" ht="21" customHeight="1" x14ac:dyDescent="0.2">
      <c r="B28" s="3"/>
      <c r="C28" s="3"/>
      <c r="D28" s="3"/>
      <c r="E28" s="3"/>
      <c r="F28" s="3"/>
      <c r="G28" s="334"/>
      <c r="H28" s="735" t="str">
        <f>'Data Entry'!B63</f>
        <v>Days taken for disbursement to reach PR</v>
      </c>
      <c r="I28" s="736"/>
      <c r="J28" s="312">
        <f>+'Data Entry'!C63</f>
        <v>45</v>
      </c>
      <c r="K28" s="309">
        <f>+'Data Entry'!D63</f>
        <v>67</v>
      </c>
    </row>
    <row r="29" spans="1:11" ht="21" customHeight="1" thickBot="1" x14ac:dyDescent="0.25">
      <c r="B29" s="3"/>
      <c r="C29" s="3"/>
      <c r="D29" s="3"/>
      <c r="E29" s="3"/>
      <c r="F29" s="3"/>
      <c r="G29" s="334"/>
      <c r="H29" s="737" t="str">
        <f>'Data Entry'!B64</f>
        <v xml:space="preserve">Days taken for disbursement to reach SRs </v>
      </c>
      <c r="I29" s="738"/>
      <c r="J29" s="313">
        <f>+'Data Entry'!C64</f>
        <v>20</v>
      </c>
      <c r="K29" s="314">
        <f>+'Data Entry'!D64</f>
        <v>20</v>
      </c>
    </row>
    <row r="30" spans="1:11" x14ac:dyDescent="0.2">
      <c r="B30" s="3"/>
      <c r="C30" s="3"/>
      <c r="D30" s="3"/>
      <c r="E30" s="3"/>
      <c r="F30" s="3"/>
      <c r="G30" s="3"/>
      <c r="H30" s="3"/>
      <c r="I30" s="3"/>
      <c r="J30" s="3"/>
      <c r="K30" s="3"/>
    </row>
    <row r="31" spans="1:11" x14ac:dyDescent="0.2">
      <c r="B31" s="3"/>
      <c r="C31" s="15"/>
      <c r="D31" s="238"/>
      <c r="E31" s="3"/>
      <c r="F31" s="3"/>
      <c r="G31" s="3"/>
      <c r="H31" s="3"/>
      <c r="I31" s="3"/>
      <c r="J31" s="3"/>
      <c r="K31" s="3"/>
    </row>
    <row r="32" spans="1:11" x14ac:dyDescent="0.2">
      <c r="B32" s="3"/>
      <c r="C32" s="15"/>
      <c r="D32" s="238"/>
      <c r="E32" s="3"/>
      <c r="F32" s="3"/>
      <c r="G32" s="3"/>
      <c r="H32" s="3"/>
      <c r="I32" s="3"/>
      <c r="J32" s="3"/>
      <c r="K32" s="3"/>
    </row>
    <row r="34" spans="5:5" x14ac:dyDescent="0.2">
      <c r="E34" s="19"/>
    </row>
  </sheetData>
  <sheetProtection password="CFC9" sheet="1"/>
  <mergeCells count="18">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1"/>
  </sheetPr>
  <dimension ref="A1:P35"/>
  <sheetViews>
    <sheetView showGridLines="0" topLeftCell="B12" workbookViewId="0">
      <selection activeCell="C9" sqref="C9"/>
    </sheetView>
  </sheetViews>
  <sheetFormatPr baseColWidth="10" defaultColWidth="11" defaultRowHeight="15" x14ac:dyDescent="0.2"/>
  <cols>
    <col min="1" max="1" width="3.33203125" customWidth="1"/>
    <col min="2" max="2" width="10.5" customWidth="1"/>
    <col min="3" max="3" width="12.5" customWidth="1"/>
    <col min="4" max="4" width="13.1640625" customWidth="1"/>
    <col min="5" max="5" width="11.5" customWidth="1"/>
    <col min="6" max="6" width="17" customWidth="1"/>
    <col min="7" max="7" width="3.83203125" customWidth="1"/>
    <col min="8" max="8" width="9.83203125" customWidth="1"/>
    <col min="9" max="9" width="13" customWidth="1"/>
    <col min="10" max="10" width="13.6640625" customWidth="1"/>
    <col min="11" max="11" width="13.5" customWidth="1"/>
    <col min="12" max="12" width="14.1640625" customWidth="1"/>
  </cols>
  <sheetData>
    <row r="1" spans="1:16" ht="28.5" customHeight="1" x14ac:dyDescent="0.2">
      <c r="C1" s="234"/>
      <c r="E1" s="235"/>
    </row>
    <row r="2" spans="1:16" ht="27.75" customHeight="1" x14ac:dyDescent="0.2">
      <c r="B2" s="766" t="str">
        <f>+"Dashboard:  "&amp;"  "&amp;IF(+'Data Entry'!C4="Please Select","",'Data Entry'!C4&amp;" - ")&amp;IF('Data Entry'!G6="Please Select","",'Data Entry'!G6)</f>
        <v>Dashboard:    Ghana - MALARIA</v>
      </c>
      <c r="C2" s="766"/>
      <c r="D2" s="766"/>
      <c r="E2" s="766"/>
      <c r="F2" s="766"/>
      <c r="G2" s="766"/>
      <c r="H2" s="766"/>
      <c r="I2" s="766"/>
      <c r="J2" s="766"/>
      <c r="K2" s="766"/>
      <c r="L2" s="766"/>
      <c r="M2" s="26"/>
      <c r="N2" s="26"/>
      <c r="O2" s="26"/>
      <c r="P2" s="26"/>
    </row>
    <row r="3" spans="1:16" x14ac:dyDescent="0.2">
      <c r="B3" s="24" t="str">
        <f>+IF('Data Entry'!G8="Please Select","",'Data Entry'!G8)</f>
        <v/>
      </c>
      <c r="C3" s="773" t="str">
        <f>+IF('Data Entry'!I8="Please Select","",'Data Entry'!I8)</f>
        <v/>
      </c>
      <c r="D3" s="773"/>
      <c r="E3" s="768"/>
      <c r="F3" s="768"/>
      <c r="G3" s="768"/>
      <c r="H3" s="768"/>
      <c r="I3" s="768"/>
      <c r="J3" s="769" t="str">
        <f>+'Data Entry'!B16</f>
        <v>Report Period:</v>
      </c>
      <c r="K3" s="769"/>
      <c r="L3" s="201" t="str">
        <f>+'Data Entry'!C16</f>
        <v>P7</v>
      </c>
    </row>
    <row r="4" spans="1:16" x14ac:dyDescent="0.2">
      <c r="B4" s="24" t="str">
        <f>+'Data Entry'!B12</f>
        <v>Latest Rating:</v>
      </c>
      <c r="C4" s="744" t="str">
        <f>+IF('Data Entry'!C12="Please Select","",'Data Entry'!C12)</f>
        <v>B1</v>
      </c>
      <c r="D4" s="744"/>
      <c r="E4" s="768" t="str">
        <f>+'Data Entry'!C8</f>
        <v>MOH</v>
      </c>
      <c r="F4" s="768"/>
      <c r="G4" s="768"/>
      <c r="H4" s="768"/>
      <c r="I4" s="768"/>
      <c r="J4" s="769" t="str">
        <f>+'Data Entry'!D16</f>
        <v>From:</v>
      </c>
      <c r="K4" s="777"/>
      <c r="L4" s="203" t="str">
        <f>+IF(ISBLANK('Data Entry'!E16),"",'Data Entry'!E16)</f>
        <v>July</v>
      </c>
    </row>
    <row r="5" spans="1:16" ht="18.75" customHeight="1" x14ac:dyDescent="0.2">
      <c r="B5" s="24"/>
      <c r="C5" s="24"/>
      <c r="D5" s="768" t="str">
        <f>+'Data Entry'!G4</f>
        <v>Accelerating access to Prevention, treatment and home based care for malaria and increasing the access to affordable ACTs in the private Sector</v>
      </c>
      <c r="E5" s="768"/>
      <c r="F5" s="768"/>
      <c r="G5" s="768"/>
      <c r="H5" s="768"/>
      <c r="I5" s="768"/>
      <c r="J5" s="768"/>
      <c r="K5" s="24" t="str">
        <f>+'Data Entry'!F16</f>
        <v>To:</v>
      </c>
      <c r="L5" s="203" t="str">
        <f>+IF(ISBLANK('Data Entry'!G16),"",'Data Entry'!G16)</f>
        <v>Sept</v>
      </c>
    </row>
    <row r="6" spans="1:16" ht="19" x14ac:dyDescent="0.25">
      <c r="B6" s="23"/>
      <c r="C6" s="24"/>
      <c r="D6" s="25"/>
      <c r="E6" s="767" t="s">
        <v>70</v>
      </c>
      <c r="F6" s="767"/>
      <c r="G6" s="767"/>
      <c r="H6" s="767"/>
      <c r="I6" s="767"/>
    </row>
    <row r="7" spans="1:16" x14ac:dyDescent="0.2">
      <c r="B7" s="386" t="str">
        <f>+'Data Entry'!B69&amp;"                "&amp;+J3&amp;" "&amp;+L3</f>
        <v>M1: Status of Conditions Precedent (CPs) and Time Bound Actions (TBAs)                Report Period: P7</v>
      </c>
      <c r="C7" s="21"/>
      <c r="H7" s="386" t="str">
        <f>+'Data Entry'!B76&amp;"                                                                             "&amp;+J3&amp;"  "&amp;+L3</f>
        <v>M2: Status of key PR management positions                                                                             Report Period:  P7</v>
      </c>
    </row>
    <row r="8" spans="1:16" x14ac:dyDescent="0.2">
      <c r="B8" s="361" t="s">
        <v>9</v>
      </c>
      <c r="C8" s="760" t="s">
        <v>485</v>
      </c>
      <c r="D8" s="761"/>
      <c r="E8" s="761"/>
      <c r="F8" s="762"/>
      <c r="G8" s="387"/>
      <c r="H8" s="360" t="s">
        <v>9</v>
      </c>
      <c r="I8" s="778" t="s">
        <v>484</v>
      </c>
      <c r="J8" s="779"/>
      <c r="K8" s="779"/>
      <c r="L8" s="780"/>
    </row>
    <row r="9" spans="1:16" x14ac:dyDescent="0.2">
      <c r="B9" s="19"/>
      <c r="C9" s="19"/>
      <c r="D9" s="19"/>
      <c r="E9" s="19"/>
      <c r="F9" s="19"/>
      <c r="G9" s="19"/>
      <c r="H9" s="19"/>
    </row>
    <row r="10" spans="1:16" x14ac:dyDescent="0.2">
      <c r="A10" s="47"/>
      <c r="B10" s="19"/>
      <c r="C10" s="19"/>
      <c r="D10" s="772"/>
      <c r="E10" s="554"/>
      <c r="F10" s="554"/>
      <c r="G10" s="210"/>
      <c r="H10" s="19"/>
      <c r="N10" s="49"/>
      <c r="O10" s="49"/>
      <c r="P10" s="48"/>
    </row>
    <row r="11" spans="1:16" x14ac:dyDescent="0.2">
      <c r="B11" s="19"/>
      <c r="C11" s="28"/>
      <c r="D11" s="772"/>
      <c r="E11" s="28"/>
      <c r="F11" s="28"/>
      <c r="G11" s="28"/>
      <c r="H11" s="28"/>
      <c r="N11" s="19"/>
      <c r="O11" s="19"/>
    </row>
    <row r="12" spans="1:16" x14ac:dyDescent="0.2">
      <c r="B12" s="28"/>
      <c r="C12" s="79"/>
      <c r="D12" s="80"/>
      <c r="E12" s="80"/>
      <c r="F12" s="80"/>
      <c r="G12" s="80"/>
      <c r="H12" s="81"/>
    </row>
    <row r="13" spans="1:16" x14ac:dyDescent="0.2">
      <c r="B13" s="28"/>
      <c r="C13" s="79"/>
      <c r="D13" s="80"/>
      <c r="E13" s="80"/>
      <c r="F13" s="80"/>
      <c r="G13" s="80"/>
      <c r="H13" s="81"/>
    </row>
    <row r="15" spans="1:16" ht="27.75" customHeight="1" x14ac:dyDescent="0.2">
      <c r="B15" s="386" t="str">
        <f>+'Data Entry'!B81&amp;"                                                                                                  "&amp;+J3&amp;" "&amp;+L3</f>
        <v>M3: Contractual arrangements (SRs)                                                                                                   Report Period: P7</v>
      </c>
      <c r="H15" s="386" t="str">
        <f>+'Data Entry'!B86&amp;"                                                             "&amp;+J3&amp;" "&amp;+L3</f>
        <v>M4: Number of complete reports received on time                                                             Report Period: P7</v>
      </c>
    </row>
    <row r="16" spans="1:16" x14ac:dyDescent="0.2">
      <c r="B16" s="361" t="s">
        <v>9</v>
      </c>
      <c r="C16" s="757" t="s">
        <v>482</v>
      </c>
      <c r="D16" s="758"/>
      <c r="E16" s="758"/>
      <c r="F16" s="759"/>
      <c r="G16" s="387"/>
      <c r="H16" s="360" t="s">
        <v>9</v>
      </c>
      <c r="I16" s="757" t="s">
        <v>483</v>
      </c>
      <c r="J16" s="770"/>
      <c r="K16" s="770"/>
      <c r="L16" s="771"/>
    </row>
    <row r="17" spans="2:13" x14ac:dyDescent="0.2">
      <c r="B17" s="29"/>
      <c r="H17" s="30"/>
    </row>
    <row r="18" spans="2:13" x14ac:dyDescent="0.2">
      <c r="M18" s="83"/>
    </row>
    <row r="26" spans="2:13" x14ac:dyDescent="0.2">
      <c r="B26" s="386" t="str">
        <f>+'Data Entry'!B92</f>
        <v>M5: Budget and Procurement of health products, health equipment, medicines and pharmaceuticals</v>
      </c>
      <c r="H26" s="386" t="str">
        <f>+'Data Entry'!B105&amp;"                                                                "&amp;+J3&amp;"  "&amp;+L3</f>
        <v>M6: Difference between current and safety stock                                                                Report Period:  P7</v>
      </c>
    </row>
    <row r="27" spans="2:13" x14ac:dyDescent="0.2">
      <c r="B27" s="359" t="s">
        <v>9</v>
      </c>
      <c r="C27" s="751"/>
      <c r="D27" s="764"/>
      <c r="E27" s="764"/>
      <c r="F27" s="765"/>
      <c r="G27" s="387"/>
      <c r="H27" s="360" t="s">
        <v>9</v>
      </c>
      <c r="I27" s="754"/>
      <c r="J27" s="755"/>
      <c r="K27" s="755"/>
      <c r="L27" s="756"/>
    </row>
    <row r="28" spans="2:13" ht="16" thickBot="1" x14ac:dyDescent="0.25"/>
    <row r="29" spans="2:13" ht="44.25" customHeight="1" x14ac:dyDescent="0.2">
      <c r="F29" s="340"/>
      <c r="G29" s="340"/>
      <c r="H29" s="222" t="s">
        <v>33</v>
      </c>
      <c r="I29" s="336" t="s">
        <v>80</v>
      </c>
      <c r="J29" s="357" t="s">
        <v>343</v>
      </c>
      <c r="K29" s="221" t="s">
        <v>331</v>
      </c>
      <c r="L29" s="337" t="s">
        <v>330</v>
      </c>
    </row>
    <row r="30" spans="2:13" ht="15" customHeight="1" x14ac:dyDescent="0.2">
      <c r="F30" s="340"/>
      <c r="G30" s="340"/>
      <c r="H30" s="774" t="str">
        <f>+'Data Entry'!B108</f>
        <v>Please Select</v>
      </c>
      <c r="I30" s="338" t="str">
        <f>+'Data Entry'!C108</f>
        <v>Please Select</v>
      </c>
      <c r="J30" s="457" t="str">
        <f>+'Data Entry'!I108</f>
        <v/>
      </c>
      <c r="K30" s="458">
        <f>+'Data Entry'!J108</f>
        <v>0</v>
      </c>
      <c r="L30" s="435" t="str">
        <f>+'Data Entry'!K108</f>
        <v/>
      </c>
    </row>
    <row r="31" spans="2:13" x14ac:dyDescent="0.2">
      <c r="F31" s="340"/>
      <c r="G31" s="340"/>
      <c r="H31" s="775"/>
      <c r="I31" s="338" t="str">
        <f>+'Data Entry'!C109</f>
        <v>Please Select</v>
      </c>
      <c r="J31" s="457" t="str">
        <f>+'Data Entry'!I109</f>
        <v/>
      </c>
      <c r="K31" s="458">
        <f>+'Data Entry'!J109</f>
        <v>0</v>
      </c>
      <c r="L31" s="436" t="str">
        <f>+'Data Entry'!K109</f>
        <v/>
      </c>
    </row>
    <row r="32" spans="2:13" x14ac:dyDescent="0.2">
      <c r="F32" s="340"/>
      <c r="G32" s="340"/>
      <c r="H32" s="775"/>
      <c r="I32" s="338" t="str">
        <f>+'Data Entry'!C110</f>
        <v>Please Select</v>
      </c>
      <c r="J32" s="457" t="str">
        <f>+'Data Entry'!I110</f>
        <v/>
      </c>
      <c r="K32" s="458">
        <f>+'Data Entry'!J110</f>
        <v>0</v>
      </c>
      <c r="L32" s="435" t="str">
        <f>+'Data Entry'!K110</f>
        <v/>
      </c>
    </row>
    <row r="33" spans="2:12" ht="16" thickBot="1" x14ac:dyDescent="0.25">
      <c r="F33" s="340"/>
      <c r="G33" s="340"/>
      <c r="H33" s="776"/>
      <c r="I33" s="339" t="str">
        <f>+'Data Entry'!C111</f>
        <v>Please Select</v>
      </c>
      <c r="J33" s="459" t="str">
        <f>+'Data Entry'!I111</f>
        <v/>
      </c>
      <c r="K33" s="460">
        <f>+'Data Entry'!J111</f>
        <v>0</v>
      </c>
      <c r="L33" s="435" t="str">
        <f>+'Data Entry'!K111</f>
        <v/>
      </c>
    </row>
    <row r="34" spans="2:12" ht="24.75" customHeight="1" x14ac:dyDescent="0.2">
      <c r="B34" s="763" t="str">
        <f>+'Data Entry'!B102</f>
        <v>* Includes only EFR category 4 and 5  (Health products and health equipment &amp; Medicines and Pharmaceuticals)</v>
      </c>
      <c r="C34" s="763"/>
      <c r="D34" s="763"/>
      <c r="E34" s="763"/>
      <c r="F34" s="19"/>
      <c r="G34" s="19"/>
      <c r="H34" s="218"/>
      <c r="I34" s="219"/>
      <c r="J34" s="220"/>
      <c r="K34" s="210"/>
      <c r="L34" s="20"/>
    </row>
    <row r="35" spans="2:12" x14ac:dyDescent="0.2">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headerFooter>
    <oddFooter>&amp;L&amp;F&amp;C&amp;A&amp;RV1.0          &amp;D</oddFooter>
  </headerFooter>
  <colBreaks count="1" manualBreakCount="1">
    <brk id="12" max="33" man="1"/>
  </col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1"/>
  </sheetPr>
  <dimension ref="A1:AI46"/>
  <sheetViews>
    <sheetView showGridLines="0" topLeftCell="A25" zoomScale="160" zoomScaleNormal="160" zoomScalePageLayoutView="160" workbookViewId="0">
      <selection activeCell="L28" sqref="L28:Q28"/>
    </sheetView>
  </sheetViews>
  <sheetFormatPr baseColWidth="10" defaultColWidth="11" defaultRowHeight="15" x14ac:dyDescent="0.2"/>
  <cols>
    <col min="1" max="1" width="0.5" customWidth="1"/>
    <col min="2" max="2" width="11.33203125" customWidth="1"/>
    <col min="3" max="3" width="16.1640625" customWidth="1"/>
    <col min="4" max="4" width="17.33203125" customWidth="1"/>
    <col min="5" max="5" width="13.5" customWidth="1"/>
    <col min="6" max="6" width="9.1640625" customWidth="1"/>
    <col min="7" max="7" width="5.6640625" customWidth="1"/>
    <col min="8" max="8" width="6.33203125" customWidth="1"/>
    <col min="9" max="9" width="6" customWidth="1"/>
    <col min="10" max="10" width="4.1640625" customWidth="1"/>
    <col min="11" max="11" width="12.5" customWidth="1"/>
    <col min="12" max="12" width="8.5" customWidth="1"/>
    <col min="13" max="13" width="5" customWidth="1"/>
    <col min="14" max="14" width="6.5" customWidth="1"/>
    <col min="15" max="15" width="4.1640625" customWidth="1"/>
    <col min="16" max="16" width="10.6640625" customWidth="1"/>
    <col min="17" max="17" width="11.6640625" customWidth="1"/>
    <col min="18" max="18" width="6.5" customWidth="1"/>
  </cols>
  <sheetData>
    <row r="1" spans="1:35" ht="26.25" customHeight="1" x14ac:dyDescent="0.2">
      <c r="A1" s="3"/>
      <c r="B1" s="3"/>
      <c r="C1" s="3"/>
      <c r="D1" s="3"/>
      <c r="E1" s="3"/>
      <c r="F1" s="3"/>
      <c r="G1" s="3"/>
      <c r="H1" s="3"/>
      <c r="I1" s="3"/>
      <c r="J1" s="3"/>
      <c r="K1" s="3"/>
      <c r="L1" s="3"/>
      <c r="M1" s="3"/>
      <c r="N1" s="3"/>
      <c r="O1" s="3"/>
      <c r="P1" s="3"/>
    </row>
    <row r="2" spans="1:35" ht="21.75" customHeight="1" x14ac:dyDescent="0.2">
      <c r="A2" s="3"/>
      <c r="B2" s="781" t="str">
        <f>+"Dashboard:  "&amp;"  "&amp;IF(+'Data Entry'!C4="Please Select","",'Data Entry'!C4&amp;" - ")&amp;IF('Data Entry'!G6="Please Select","",'Data Entry'!G6)</f>
        <v>Dashboard:    Ghana - MALARIA</v>
      </c>
      <c r="C2" s="781"/>
      <c r="D2" s="781"/>
      <c r="E2" s="781"/>
      <c r="F2" s="781"/>
      <c r="G2" s="781"/>
      <c r="H2" s="781"/>
      <c r="I2" s="781"/>
      <c r="J2" s="781"/>
      <c r="K2" s="781"/>
      <c r="L2" s="781"/>
      <c r="M2" s="781"/>
      <c r="N2" s="781"/>
      <c r="O2" s="781"/>
      <c r="P2" s="781"/>
      <c r="Q2" s="781"/>
    </row>
    <row r="3" spans="1:35" ht="19" x14ac:dyDescent="0.25">
      <c r="A3" s="3"/>
      <c r="B3" s="135" t="str">
        <f>+IF('Data Entry'!G8="Please Select","",'Data Entry'!G8)</f>
        <v/>
      </c>
      <c r="C3" s="743" t="str">
        <f>+IF('Data Entry'!I8="Please Select","",'Data Entry'!I8)</f>
        <v/>
      </c>
      <c r="D3" s="743"/>
      <c r="E3" s="742"/>
      <c r="F3" s="742"/>
      <c r="G3" s="742"/>
      <c r="H3" s="742"/>
      <c r="I3" s="784"/>
      <c r="J3" s="784"/>
      <c r="K3" s="784"/>
      <c r="L3" s="3"/>
      <c r="M3" s="3"/>
      <c r="O3" s="740" t="str">
        <f>+'Data Entry'!B16</f>
        <v>Report Period:</v>
      </c>
      <c r="P3" s="740"/>
      <c r="Q3" s="202" t="str">
        <f>+'Data Entry'!C16</f>
        <v>P7</v>
      </c>
    </row>
    <row r="4" spans="1:35" ht="12" customHeight="1" x14ac:dyDescent="0.2">
      <c r="A4" s="3"/>
      <c r="B4" s="135" t="str">
        <f>+'Data Entry'!B12</f>
        <v>Latest Rating:</v>
      </c>
      <c r="C4" s="785" t="str">
        <f>+IF('Data Entry'!C12="Please Select","",'Data Entry'!C12)</f>
        <v>B1</v>
      </c>
      <c r="D4" s="785"/>
      <c r="E4" s="742" t="str">
        <f>+'Data Entry'!C8</f>
        <v>MOH</v>
      </c>
      <c r="F4" s="742"/>
      <c r="G4" s="742"/>
      <c r="H4" s="742"/>
      <c r="I4" s="742"/>
      <c r="J4" s="742"/>
      <c r="K4" s="742"/>
      <c r="L4" s="742"/>
      <c r="M4" s="3"/>
      <c r="O4" s="342"/>
      <c r="P4" s="135" t="str">
        <f>+'Data Entry'!D16</f>
        <v>From:</v>
      </c>
      <c r="Q4" s="343" t="str">
        <f>+IF(ISBLANK('Data Entry'!E16),"",'Data Entry'!E16)</f>
        <v>July</v>
      </c>
      <c r="Y4" s="71"/>
      <c r="Z4" s="71"/>
      <c r="AA4" s="71"/>
      <c r="AB4" s="71"/>
      <c r="AC4" s="71"/>
    </row>
    <row r="5" spans="1:35" ht="15.75" customHeight="1" x14ac:dyDescent="0.2">
      <c r="A5" s="3"/>
      <c r="B5" s="135"/>
      <c r="C5" s="135"/>
      <c r="D5" s="742" t="str">
        <f>+'Data Entry'!G4</f>
        <v>Accelerating access to Prevention, treatment and home based care for malaria and increasing the access to affordable ACTs in the private Sector</v>
      </c>
      <c r="E5" s="742"/>
      <c r="F5" s="742"/>
      <c r="G5" s="742"/>
      <c r="H5" s="742"/>
      <c r="I5" s="742"/>
      <c r="J5" s="742"/>
      <c r="K5" s="742"/>
      <c r="L5" s="742"/>
      <c r="M5" s="742"/>
      <c r="N5" s="742"/>
      <c r="P5" s="135" t="str">
        <f>+'Data Entry'!F16</f>
        <v>To:</v>
      </c>
      <c r="Q5" s="343" t="str">
        <f>+IF(ISBLANK('Data Entry'!G16),"",'Data Entry'!G16)</f>
        <v>Sept</v>
      </c>
      <c r="S5" s="229"/>
      <c r="T5" s="229"/>
      <c r="U5" s="229"/>
      <c r="V5" s="229"/>
      <c r="W5" s="229"/>
      <c r="X5" s="229"/>
      <c r="Y5" s="71"/>
      <c r="Z5" s="71"/>
      <c r="AA5" s="71" t="s">
        <v>43</v>
      </c>
      <c r="AB5" s="71"/>
      <c r="AC5" s="71" t="s">
        <v>265</v>
      </c>
      <c r="AD5" s="229"/>
      <c r="AE5" s="229"/>
      <c r="AF5" s="229"/>
      <c r="AG5" s="229"/>
      <c r="AH5" s="229"/>
      <c r="AI5" s="229"/>
    </row>
    <row r="6" spans="1:35" ht="15.75" customHeight="1" x14ac:dyDescent="0.25">
      <c r="A6" s="3"/>
      <c r="B6" s="135"/>
      <c r="C6" s="135"/>
      <c r="D6" s="227"/>
      <c r="E6" s="227"/>
      <c r="F6" s="783" t="s">
        <v>393</v>
      </c>
      <c r="G6" s="783"/>
      <c r="H6" s="783"/>
      <c r="I6" s="783"/>
      <c r="J6" s="783"/>
      <c r="K6" s="783"/>
      <c r="L6" s="227"/>
      <c r="M6" s="3"/>
      <c r="N6" s="3"/>
      <c r="O6" s="204"/>
      <c r="P6" s="262"/>
      <c r="S6" s="229"/>
      <c r="T6" s="229"/>
      <c r="U6" s="229"/>
      <c r="V6" s="229"/>
      <c r="W6" s="229"/>
      <c r="X6" s="229"/>
      <c r="Y6" s="71"/>
      <c r="Z6" s="71"/>
      <c r="AA6" s="71"/>
      <c r="AB6" s="71"/>
      <c r="AC6" s="71"/>
      <c r="AD6" s="229"/>
      <c r="AE6" s="229"/>
      <c r="AF6" s="229"/>
      <c r="AG6" s="229"/>
      <c r="AH6" s="229"/>
      <c r="AI6" s="229"/>
    </row>
    <row r="7" spans="1:35" ht="3" customHeight="1" x14ac:dyDescent="0.2">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x14ac:dyDescent="0.2">
      <c r="A8" s="3"/>
      <c r="B8" s="782" t="str">
        <f>+'Data Entry'!B118</f>
        <v>Pr1. Proportion of estimated malaria cases (presumed and confirmed) that received first line anti-malarial treatment at health facilities</v>
      </c>
      <c r="C8" s="782"/>
      <c r="D8" s="782"/>
      <c r="E8" s="782"/>
      <c r="F8" s="782" t="str">
        <f>+'Data Entry'!B120</f>
        <v>Pr2. %  Proportion of pregnant women attending antenatal clinics who received three or more doses of intermittent preventive treatment (IPTp) for malaria</v>
      </c>
      <c r="G8" s="782"/>
      <c r="H8" s="782"/>
      <c r="I8" s="782"/>
      <c r="J8" s="782"/>
      <c r="K8" s="782"/>
      <c r="L8" s="782" t="str">
        <f>+'Data Entry'!B122</f>
        <v>Pr3. Number of long-lasting insecticidal nets distributed to at-risk populations through mass campaigns</v>
      </c>
      <c r="M8" s="782"/>
      <c r="N8" s="782"/>
      <c r="O8" s="782"/>
      <c r="P8" s="782"/>
      <c r="Q8" s="782"/>
      <c r="S8" s="229"/>
      <c r="T8" s="229"/>
      <c r="U8" s="229"/>
      <c r="V8" s="229"/>
      <c r="W8" s="229"/>
      <c r="X8" s="229"/>
      <c r="Y8" s="71"/>
      <c r="Z8" s="71"/>
      <c r="AA8" s="71"/>
      <c r="AB8" s="71"/>
      <c r="AC8" s="71"/>
      <c r="AD8" s="229"/>
      <c r="AE8" s="229"/>
      <c r="AF8" s="229"/>
      <c r="AG8" s="229"/>
      <c r="AH8" s="229"/>
      <c r="AI8" s="229"/>
    </row>
    <row r="9" spans="1:35" ht="24" customHeight="1" x14ac:dyDescent="0.2">
      <c r="A9" s="3"/>
      <c r="B9" s="487" t="s">
        <v>411</v>
      </c>
      <c r="C9" s="816" t="s">
        <v>470</v>
      </c>
      <c r="D9" s="817"/>
      <c r="E9" s="818"/>
      <c r="F9" s="487" t="s">
        <v>412</v>
      </c>
      <c r="G9" s="816" t="s">
        <v>469</v>
      </c>
      <c r="H9" s="817"/>
      <c r="I9" s="817"/>
      <c r="J9" s="817"/>
      <c r="K9" s="818"/>
      <c r="L9" s="487" t="s">
        <v>413</v>
      </c>
      <c r="M9" s="816" t="s">
        <v>468</v>
      </c>
      <c r="N9" s="819"/>
      <c r="O9" s="819"/>
      <c r="P9" s="819"/>
      <c r="Q9" s="820"/>
      <c r="S9" s="229"/>
      <c r="T9" s="229"/>
      <c r="U9" s="229"/>
      <c r="V9" s="229"/>
      <c r="W9" s="229"/>
      <c r="X9" s="229"/>
      <c r="Y9" s="229"/>
      <c r="Z9" s="229"/>
      <c r="AA9" s="229"/>
      <c r="AB9" s="229"/>
      <c r="AC9" s="229"/>
      <c r="AD9" s="229"/>
      <c r="AE9" s="229"/>
      <c r="AF9" s="229"/>
      <c r="AG9" s="229"/>
      <c r="AH9" s="229"/>
      <c r="AI9" s="229"/>
    </row>
    <row r="10" spans="1:35" ht="18.75" customHeight="1" x14ac:dyDescent="0.2">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x14ac:dyDescent="0.2">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x14ac:dyDescent="0.2">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x14ac:dyDescent="0.2">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x14ac:dyDescent="0.2">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x14ac:dyDescent="0.2">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x14ac:dyDescent="0.2">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x14ac:dyDescent="0.2">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x14ac:dyDescent="0.25">
      <c r="A18" s="3"/>
      <c r="B18" s="139"/>
      <c r="C18" s="135"/>
      <c r="D18" s="136"/>
      <c r="E18" s="800"/>
      <c r="F18" s="800"/>
      <c r="G18" s="800"/>
      <c r="H18" s="800"/>
      <c r="I18" s="800"/>
      <c r="J18" s="800"/>
      <c r="K18" s="800"/>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x14ac:dyDescent="0.2">
      <c r="A19" s="3"/>
      <c r="B19" s="801" t="s">
        <v>89</v>
      </c>
      <c r="C19" s="801"/>
      <c r="D19" s="801"/>
      <c r="E19" s="146" t="s">
        <v>86</v>
      </c>
      <c r="F19" s="146" t="s">
        <v>90</v>
      </c>
      <c r="G19" s="796" t="s">
        <v>332</v>
      </c>
      <c r="H19" s="797"/>
      <c r="I19" s="798" t="s">
        <v>333</v>
      </c>
      <c r="J19" s="799"/>
      <c r="K19" s="341" t="s">
        <v>334</v>
      </c>
      <c r="L19" s="786" t="s">
        <v>93</v>
      </c>
      <c r="M19" s="787"/>
      <c r="N19" s="787"/>
      <c r="O19" s="787"/>
      <c r="P19" s="787"/>
      <c r="Q19" s="788"/>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54" customHeight="1" x14ac:dyDescent="0.2">
      <c r="A20" s="3"/>
      <c r="B20" s="802" t="str">
        <f>+'Data Entry'!B118</f>
        <v>Pr1. Proportion of estimated malaria cases (presumed and confirmed) that received first line anti-malarial treatment at health facilities</v>
      </c>
      <c r="C20" s="802"/>
      <c r="D20" s="802"/>
      <c r="E20" s="147">
        <f ca="1">OFFSET('Data Entry'!$G$117,1,RIGHT('Data Entry'!$C$16,LEN('Data Entry'!$C$16)-1),1,1)</f>
        <v>0.61299999999999999</v>
      </c>
      <c r="F20" s="147">
        <f ca="1">OFFSET('Data Entry'!$G$117,2,RIGHT('Data Entry'!$C$16,LEN('Data Entry'!$C$16)-1),1,1)</f>
        <v>0.56299999999999994</v>
      </c>
      <c r="G20" s="793">
        <f ca="1">+IF(ISERROR(F20/E20),0,F20/E20)</f>
        <v>0.91843393148450236</v>
      </c>
      <c r="H20" s="794"/>
      <c r="I20" s="794"/>
      <c r="J20" s="794"/>
      <c r="K20" s="795"/>
      <c r="L20" s="809" t="s">
        <v>477</v>
      </c>
      <c r="M20" s="809"/>
      <c r="N20" s="809"/>
      <c r="O20" s="809"/>
      <c r="P20" s="809"/>
      <c r="Q20" s="809"/>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41.25" customHeight="1" x14ac:dyDescent="0.2">
      <c r="A21" s="3"/>
      <c r="B21" s="802" t="str">
        <f>+'Data Entry'!B120</f>
        <v>Pr2. %  Proportion of pregnant women attending antenatal clinics who received three or more doses of intermittent preventive treatment (IPTp) for malaria</v>
      </c>
      <c r="C21" s="802"/>
      <c r="D21" s="802"/>
      <c r="E21" s="147">
        <f ca="1">OFFSET('Data Entry'!$G$117,3,RIGHT('Data Entry'!$C$16,LEN('Data Entry'!$C$16)-1),1,1)</f>
        <v>0.60699999999999998</v>
      </c>
      <c r="F21" s="147">
        <f ca="1">OFFSET('Data Entry'!$G$117,4,RIGHT('Data Entry'!$C$16,LEN('Data Entry'!$C$16)-1),1,1)</f>
        <v>0.40300000000000002</v>
      </c>
      <c r="G21" s="793">
        <f t="shared" ref="G21:G27" ca="1" si="0">+IF(ISERROR(F21/E21),0,F21/E21)</f>
        <v>0.66392092257001656</v>
      </c>
      <c r="H21" s="794"/>
      <c r="I21" s="794"/>
      <c r="J21" s="794"/>
      <c r="K21" s="795"/>
      <c r="L21" s="792" t="s">
        <v>478</v>
      </c>
      <c r="M21" s="792"/>
      <c r="N21" s="792"/>
      <c r="O21" s="792"/>
      <c r="P21" s="792"/>
      <c r="Q21" s="792"/>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42" customHeight="1" x14ac:dyDescent="0.2">
      <c r="A22" s="3"/>
      <c r="B22" s="802" t="str">
        <f>+'Data Entry'!B122</f>
        <v>Pr3. Number of long-lasting insecticidal nets distributed to at-risk populations through mass campaigns</v>
      </c>
      <c r="C22" s="802"/>
      <c r="D22" s="802"/>
      <c r="E22" s="147">
        <f ca="1">OFFSET('Data Entry'!$G$117,5,RIGHT('Data Entry'!$C$16,LEN('Data Entry'!$C$16)-1),1,1)</f>
        <v>2331644</v>
      </c>
      <c r="F22" s="147">
        <f ca="1">OFFSET('Data Entry'!$G$117,6,RIGHT('Data Entry'!$C$16,LEN('Data Entry'!$C$16)-1),1,1)</f>
        <v>2440710</v>
      </c>
      <c r="G22" s="793">
        <f t="shared" ca="1" si="0"/>
        <v>1.0467764375693716</v>
      </c>
      <c r="H22" s="794"/>
      <c r="I22" s="794"/>
      <c r="J22" s="794"/>
      <c r="K22" s="795"/>
      <c r="L22" s="792" t="s">
        <v>479</v>
      </c>
      <c r="M22" s="792"/>
      <c r="N22" s="792"/>
      <c r="O22" s="792"/>
      <c r="P22" s="792"/>
      <c r="Q22" s="792"/>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60.75" customHeight="1" x14ac:dyDescent="0.2">
      <c r="A23" s="3"/>
      <c r="B23" s="804" t="str">
        <f>+'Data Entry'!B124</f>
        <v>Pr4. Proportion of population at risk potentially covered by long lasting insecticidal nets distributed</v>
      </c>
      <c r="C23" s="805"/>
      <c r="D23" s="806"/>
      <c r="E23" s="147">
        <f ca="1">OFFSET('Data Entry'!$G$117,7,RIGHT('Data Entry'!$C$16,LEN('Data Entry'!$C$16)-1),1,1)</f>
        <v>0.89700000000000002</v>
      </c>
      <c r="F23" s="147">
        <f ca="1">OFFSET('Data Entry'!$G$117,8,RIGHT('Data Entry'!$C$16,LEN('Data Entry'!$C$16)-1),1,1)</f>
        <v>0.90069999999999995</v>
      </c>
      <c r="G23" s="793">
        <f t="shared" ca="1" si="0"/>
        <v>1.0041248606465998</v>
      </c>
      <c r="H23" s="794"/>
      <c r="I23" s="794"/>
      <c r="J23" s="794"/>
      <c r="K23" s="795"/>
      <c r="L23" s="792" t="s">
        <v>474</v>
      </c>
      <c r="M23" s="792"/>
      <c r="N23" s="792"/>
      <c r="O23" s="792"/>
      <c r="P23" s="792"/>
      <c r="Q23" s="792"/>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39.75" customHeight="1" x14ac:dyDescent="0.2">
      <c r="A24" s="3"/>
      <c r="B24" s="802" t="str">
        <f>+'Data Entry'!B126</f>
        <v>Pr5. Proportion of suspected malaria cases that receive a parasitological test at health facilities</v>
      </c>
      <c r="C24" s="802"/>
      <c r="D24" s="802"/>
      <c r="E24" s="147">
        <f ca="1">OFFSET('Data Entry'!$G$117,9,RIGHT('Data Entry'!$C$16,LEN('Data Entry'!$C$16)-1),1,1)</f>
        <v>0.75</v>
      </c>
      <c r="F24" s="147">
        <f ca="1">OFFSET('Data Entry'!$G$117,10,RIGHT('Data Entry'!$C$16,LEN('Data Entry'!$C$16)-1),1,1)</f>
        <v>0.79</v>
      </c>
      <c r="G24" s="793">
        <f t="shared" ca="1" si="0"/>
        <v>1.0533333333333335</v>
      </c>
      <c r="H24" s="794"/>
      <c r="I24" s="794"/>
      <c r="J24" s="794"/>
      <c r="K24" s="795"/>
      <c r="L24" s="792" t="s">
        <v>480</v>
      </c>
      <c r="M24" s="792"/>
      <c r="N24" s="792"/>
      <c r="O24" s="792"/>
      <c r="P24" s="792"/>
      <c r="Q24" s="792"/>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55.5" customHeight="1" x14ac:dyDescent="0.2">
      <c r="A25" s="3"/>
      <c r="B25" s="802" t="str">
        <f>+'Data Entry'!B128</f>
        <v>Pr6.  Proportion of targeted risk groups (pupils, pregnant women  and children under five years) receiving long-lasting insecticidal-nets through routine distribution</v>
      </c>
      <c r="C25" s="802"/>
      <c r="D25" s="802"/>
      <c r="E25" s="147">
        <f ca="1">OFFSET('Data Entry'!$G$117,11,RIGHT('Data Entry'!$C$16,LEN('Data Entry'!$C$16)-1),1,1)</f>
        <v>0.92</v>
      </c>
      <c r="F25" s="147">
        <f ca="1">OFFSET('Data Entry'!$G$117,12,RIGHT('Data Entry'!$C$16,LEN('Data Entry'!$C$16)-1),1,1)</f>
        <v>0.80100000000000005</v>
      </c>
      <c r="G25" s="793">
        <f t="shared" ca="1" si="0"/>
        <v>0.8706521739130435</v>
      </c>
      <c r="H25" s="794"/>
      <c r="I25" s="794"/>
      <c r="J25" s="794"/>
      <c r="K25" s="795"/>
      <c r="L25" s="789" t="s">
        <v>476</v>
      </c>
      <c r="M25" s="790"/>
      <c r="N25" s="790"/>
      <c r="O25" s="790"/>
      <c r="P25" s="790"/>
      <c r="Q25" s="791"/>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63" customHeight="1" x14ac:dyDescent="0.2">
      <c r="A26" s="3"/>
      <c r="B26" s="802" t="str">
        <f>+'Data Entry'!B130</f>
        <v>Pr7. Number of children under five years which received first-line antimalrial treatment according to national policy(ACTs) at the community level</v>
      </c>
      <c r="C26" s="802"/>
      <c r="D26" s="802"/>
      <c r="E26" s="505">
        <f ca="1">OFFSET('Data Entry'!$G$117,13,RIGHT('Data Entry'!$C$16,LEN('Data Entry'!$C$16)-1),1,1)</f>
        <v>1</v>
      </c>
      <c r="F26" s="505">
        <f ca="1">OFFSET('Data Entry'!$G$117,14,RIGHT('Data Entry'!$C$16,LEN('Data Entry'!$C$16)-1),1,1)</f>
        <v>1</v>
      </c>
      <c r="G26" s="793">
        <f t="shared" ca="1" si="0"/>
        <v>1</v>
      </c>
      <c r="H26" s="794"/>
      <c r="I26" s="794"/>
      <c r="J26" s="794"/>
      <c r="K26" s="795"/>
      <c r="L26" s="789" t="s">
        <v>466</v>
      </c>
      <c r="M26" s="790"/>
      <c r="N26" s="790"/>
      <c r="O26" s="790"/>
      <c r="P26" s="790"/>
      <c r="Q26" s="791"/>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40.5" customHeight="1" x14ac:dyDescent="0.2">
      <c r="A27" s="3"/>
      <c r="B27" s="802" t="str">
        <f>+'Data Entry'!B132</f>
        <v>Pr8. Proportion of confirmed malaria cases that received first-line antimalarial treatment according to national policy at health facilities</v>
      </c>
      <c r="C27" s="802"/>
      <c r="D27" s="802"/>
      <c r="E27" s="147">
        <f ca="1">OFFSET('Data Entry'!$G$117,15,RIGHT('Data Entry'!$C$16,LEN('Data Entry'!$C$16)-1),1,1)</f>
        <v>1</v>
      </c>
      <c r="F27" s="147">
        <f ca="1">OFFSET('Data Entry'!$G$117,16,RIGHT('Data Entry'!$C$16,LEN('Data Entry'!$C$16)-1),1,1)</f>
        <v>1</v>
      </c>
      <c r="G27" s="793">
        <f t="shared" ca="1" si="0"/>
        <v>1</v>
      </c>
      <c r="H27" s="794"/>
      <c r="I27" s="794"/>
      <c r="J27" s="794"/>
      <c r="K27" s="795"/>
      <c r="L27" s="792" t="s">
        <v>475</v>
      </c>
      <c r="M27" s="792"/>
      <c r="N27" s="792"/>
      <c r="O27" s="792"/>
      <c r="P27" s="792"/>
      <c r="Q27" s="792"/>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24" customHeight="1" x14ac:dyDescent="0.2">
      <c r="A28" s="3"/>
      <c r="B28" s="802">
        <f>+'Data Entry'!B134</f>
        <v>0</v>
      </c>
      <c r="C28" s="802"/>
      <c r="D28" s="802"/>
      <c r="E28" s="147">
        <f ca="1">OFFSET('Data Entry'!$G$117,17,RIGHT('Data Entry'!$C$16,LEN('Data Entry'!$C$16)-1),1,1)</f>
        <v>0</v>
      </c>
      <c r="F28" s="147">
        <f ca="1">OFFSET('Data Entry'!$G$117,18,RIGHT('Data Entry'!$C$16,LEN('Data Entry'!$C$16)-1),1,1)</f>
        <v>0</v>
      </c>
      <c r="G28" s="793">
        <v>1</v>
      </c>
      <c r="H28" s="794"/>
      <c r="I28" s="794"/>
      <c r="J28" s="794"/>
      <c r="K28" s="795"/>
      <c r="L28" s="810"/>
      <c r="M28" s="810"/>
      <c r="N28" s="810"/>
      <c r="O28" s="810"/>
      <c r="P28" s="810"/>
      <c r="Q28" s="810"/>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customHeight="1" x14ac:dyDescent="0.2">
      <c r="A29" s="3"/>
      <c r="B29" s="804">
        <f>+'Data Entry'!B136</f>
        <v>0</v>
      </c>
      <c r="C29" s="805"/>
      <c r="D29" s="806"/>
      <c r="E29" s="147">
        <f ca="1">OFFSET('Data Entry'!$G$117,19,RIGHT('Data Entry'!$C$16,LEN('Data Entry'!$C$16)-1),1,1)</f>
        <v>0</v>
      </c>
      <c r="F29" s="147">
        <f ca="1">OFFSET('Data Entry'!$G$117,20,RIGHT('Data Entry'!$C$16,LEN('Data Entry'!$C$16)-1),1,1)</f>
        <v>0</v>
      </c>
      <c r="G29" s="793">
        <v>1</v>
      </c>
      <c r="H29" s="794"/>
      <c r="I29" s="794"/>
      <c r="J29" s="794"/>
      <c r="K29" s="795"/>
      <c r="L29" s="810"/>
      <c r="M29" s="810"/>
      <c r="N29" s="810"/>
      <c r="O29" s="810"/>
      <c r="P29" s="810"/>
      <c r="Q29" s="810"/>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x14ac:dyDescent="0.2">
      <c r="A30" s="3"/>
      <c r="B30" s="815"/>
      <c r="C30" s="815"/>
      <c r="D30" s="815"/>
      <c r="E30" s="815"/>
      <c r="F30" s="814"/>
      <c r="G30" s="814"/>
      <c r="H30" s="814"/>
      <c r="I30" s="814"/>
      <c r="J30" s="814"/>
      <c r="K30" s="814"/>
      <c r="L30" s="811"/>
      <c r="M30" s="811"/>
      <c r="N30" s="811"/>
      <c r="O30" s="811"/>
      <c r="P30" s="811"/>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x14ac:dyDescent="0.2">
      <c r="A31" s="3"/>
      <c r="B31" s="812"/>
      <c r="C31" s="812"/>
      <c r="D31" s="812"/>
      <c r="E31" s="813"/>
      <c r="F31" s="807"/>
      <c r="G31" s="808"/>
      <c r="H31" s="808"/>
      <c r="I31" s="808"/>
      <c r="J31" s="808"/>
      <c r="K31" s="813"/>
      <c r="L31" s="807"/>
      <c r="M31" s="808"/>
      <c r="N31" s="808"/>
      <c r="O31" s="808"/>
      <c r="P31" s="808"/>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x14ac:dyDescent="0.2">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x14ac:dyDescent="0.2">
      <c r="A33" s="3"/>
      <c r="B33" s="803"/>
      <c r="C33" s="803"/>
      <c r="D33" s="803"/>
      <c r="E33" s="803"/>
      <c r="F33" s="803"/>
      <c r="G33" s="803"/>
      <c r="H33" s="803"/>
      <c r="I33" s="803"/>
      <c r="J33" s="803"/>
      <c r="K33" s="803"/>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x14ac:dyDescent="0.2">
      <c r="A34" s="3"/>
      <c r="B34" s="803"/>
      <c r="C34" s="803"/>
      <c r="D34" s="803"/>
      <c r="E34" s="803"/>
      <c r="F34" s="803"/>
      <c r="G34" s="803"/>
      <c r="H34" s="803"/>
      <c r="I34" s="803"/>
      <c r="J34" s="803"/>
      <c r="K34" s="803"/>
      <c r="L34" s="230"/>
      <c r="M34" s="230"/>
      <c r="N34" s="230"/>
      <c r="O34" s="230"/>
      <c r="P34" s="230"/>
      <c r="S34" s="71"/>
      <c r="T34" s="71"/>
      <c r="U34" s="71"/>
      <c r="V34" s="71"/>
      <c r="W34" s="71"/>
      <c r="X34" s="71"/>
      <c r="Y34" s="71"/>
      <c r="Z34" s="71"/>
      <c r="AA34" s="71"/>
      <c r="AB34" s="71"/>
      <c r="AC34" s="71"/>
      <c r="AD34" s="71"/>
      <c r="AE34" s="71"/>
      <c r="AF34" s="71"/>
      <c r="AG34" s="71"/>
      <c r="AH34" s="71"/>
      <c r="AI34" s="71"/>
    </row>
    <row r="35" spans="1:35" x14ac:dyDescent="0.2">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x14ac:dyDescent="0.2">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x14ac:dyDescent="0.2">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x14ac:dyDescent="0.2">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x14ac:dyDescent="0.2">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x14ac:dyDescent="0.2">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x14ac:dyDescent="0.2">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x14ac:dyDescent="0.2">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x14ac:dyDescent="0.2">
      <c r="S43" s="64"/>
      <c r="T43" s="64"/>
      <c r="U43" s="64"/>
      <c r="V43" s="64"/>
      <c r="W43" s="64"/>
      <c r="X43" s="64"/>
      <c r="Y43" s="64"/>
      <c r="Z43" s="64"/>
      <c r="AA43" s="64"/>
      <c r="AB43" s="64"/>
    </row>
    <row r="44" spans="1:35" x14ac:dyDescent="0.2">
      <c r="S44" s="64"/>
      <c r="T44" s="64"/>
      <c r="U44" s="64"/>
      <c r="V44" s="64"/>
      <c r="W44" s="64"/>
      <c r="X44" s="64"/>
      <c r="Y44" s="64"/>
      <c r="Z44" s="64"/>
      <c r="AA44" s="64"/>
      <c r="AB44" s="64"/>
    </row>
    <row r="45" spans="1:35" x14ac:dyDescent="0.2">
      <c r="S45" s="64"/>
      <c r="T45" s="64"/>
      <c r="U45" s="64"/>
      <c r="V45" s="64"/>
      <c r="W45" s="64"/>
      <c r="X45" s="64"/>
      <c r="Y45" s="64"/>
      <c r="Z45" s="64"/>
      <c r="AA45" s="64"/>
      <c r="AB45" s="64"/>
    </row>
    <row r="46" spans="1:35" x14ac:dyDescent="0.2">
      <c r="S46" s="64"/>
      <c r="T46" s="64"/>
      <c r="U46" s="64"/>
      <c r="V46" s="64"/>
      <c r="W46" s="64"/>
      <c r="X46" s="64"/>
      <c r="Y46" s="64"/>
      <c r="Z46" s="64"/>
      <c r="AA46" s="64"/>
      <c r="AB46" s="64"/>
    </row>
  </sheetData>
  <mergeCells count="58">
    <mergeCell ref="C9:E9"/>
    <mergeCell ref="G9:K9"/>
    <mergeCell ref="M9:Q9"/>
    <mergeCell ref="C3:D3"/>
    <mergeCell ref="E4:L4"/>
    <mergeCell ref="B8:E8"/>
    <mergeCell ref="F8:K8"/>
    <mergeCell ref="F31:K31"/>
    <mergeCell ref="B21:D21"/>
    <mergeCell ref="G28:K28"/>
    <mergeCell ref="G29:K29"/>
    <mergeCell ref="F30:K30"/>
    <mergeCell ref="B30:E30"/>
    <mergeCell ref="B27:D27"/>
    <mergeCell ref="B28:D28"/>
    <mergeCell ref="B29:D29"/>
    <mergeCell ref="B22:D22"/>
    <mergeCell ref="L31:P31"/>
    <mergeCell ref="L20:Q20"/>
    <mergeCell ref="L21:Q21"/>
    <mergeCell ref="L22:Q22"/>
    <mergeCell ref="L28:Q28"/>
    <mergeCell ref="L30:P30"/>
    <mergeCell ref="L23:Q23"/>
    <mergeCell ref="L24:Q24"/>
    <mergeCell ref="L29:Q2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19:Q19"/>
    <mergeCell ref="L25:Q25"/>
    <mergeCell ref="L26:Q26"/>
    <mergeCell ref="L27:Q27"/>
    <mergeCell ref="G20:K20"/>
    <mergeCell ref="G21:K21"/>
    <mergeCell ref="G22:K22"/>
    <mergeCell ref="G19:H19"/>
    <mergeCell ref="I19:J19"/>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27"/>
  </sheetPr>
  <dimension ref="A1:O42"/>
  <sheetViews>
    <sheetView showGridLines="0" topLeftCell="A6" zoomScale="90" zoomScaleNormal="90" zoomScalePageLayoutView="90" workbookViewId="0">
      <selection activeCell="D32" sqref="D32:G32"/>
    </sheetView>
  </sheetViews>
  <sheetFormatPr baseColWidth="10" defaultColWidth="11.5" defaultRowHeight="12" x14ac:dyDescent="0.15"/>
  <cols>
    <col min="1" max="1" width="1.1640625" style="31" customWidth="1"/>
    <col min="2" max="2" width="19.33203125" style="31" customWidth="1"/>
    <col min="3" max="3" width="1.1640625" style="31" customWidth="1"/>
    <col min="4" max="4" width="17.1640625" style="31" customWidth="1"/>
    <col min="5" max="5" width="17.5" style="31" customWidth="1"/>
    <col min="6" max="6" width="9.6640625" style="31" customWidth="1"/>
    <col min="7" max="7" width="13" style="31" customWidth="1"/>
    <col min="8" max="8" width="4.33203125" style="31" customWidth="1"/>
    <col min="9" max="9" width="15.83203125" style="31" customWidth="1"/>
    <col min="10" max="10" width="3.5" style="31" customWidth="1"/>
    <col min="11" max="11" width="7.5" style="32" customWidth="1"/>
    <col min="12" max="12" width="14.33203125" style="31" customWidth="1"/>
    <col min="13" max="13" width="12" style="31" customWidth="1"/>
    <col min="14" max="14" width="5.5" style="31" customWidth="1"/>
    <col min="15" max="15" width="2.5" style="31" customWidth="1"/>
    <col min="16" max="16384" width="11.5" style="31"/>
  </cols>
  <sheetData>
    <row r="1" spans="1:15" ht="38.25" customHeight="1" x14ac:dyDescent="0.15">
      <c r="A1" s="154"/>
      <c r="B1" s="154"/>
      <c r="C1" s="154"/>
      <c r="D1" s="154"/>
      <c r="E1" s="154"/>
      <c r="F1" s="154"/>
      <c r="G1" s="154"/>
      <c r="H1" s="154"/>
      <c r="I1" s="154"/>
      <c r="J1" s="154"/>
      <c r="K1" s="155"/>
      <c r="L1" s="154"/>
      <c r="M1" s="154"/>
      <c r="N1" s="154"/>
    </row>
    <row r="2" spans="1:15" customFormat="1" ht="27.75" customHeight="1" x14ac:dyDescent="0.2">
      <c r="A2" s="3"/>
      <c r="B2" s="781" t="str">
        <f>+"Dashboard:  "&amp;"  "&amp;IF(+'Data Entry'!C4="Please Select","",'Data Entry'!C4&amp;" - ")&amp;IF('Data Entry'!G6="Please Select","",'Data Entry'!G6)</f>
        <v>Dashboard:    Ghana - MALARIA</v>
      </c>
      <c r="C2" s="781"/>
      <c r="D2" s="781"/>
      <c r="E2" s="781"/>
      <c r="F2" s="781"/>
      <c r="G2" s="781"/>
      <c r="H2" s="781"/>
      <c r="I2" s="781"/>
      <c r="J2" s="781"/>
      <c r="K2" s="781"/>
      <c r="L2" s="781"/>
      <c r="M2" s="781"/>
      <c r="N2" s="781"/>
      <c r="O2" s="73"/>
    </row>
    <row r="3" spans="1:15" customFormat="1" ht="19" x14ac:dyDescent="0.25">
      <c r="A3" s="3"/>
      <c r="B3" s="135" t="str">
        <f>+IF('Data Entry'!G8="Please Select","",'Data Entry'!G8)</f>
        <v/>
      </c>
      <c r="C3" s="743" t="str">
        <f>+IF('Data Entry'!I8="Please Select","",'Data Entry'!I8)</f>
        <v/>
      </c>
      <c r="D3" s="743"/>
      <c r="E3" s="784"/>
      <c r="F3" s="784"/>
      <c r="G3" s="784"/>
      <c r="H3" s="784"/>
      <c r="I3" s="784"/>
      <c r="J3" s="784"/>
      <c r="K3" s="784"/>
      <c r="L3" s="135" t="str">
        <f>+'Data Entry'!B16</f>
        <v>Report Period:</v>
      </c>
      <c r="M3" s="202" t="str">
        <f>+'Data Entry'!C16</f>
        <v>P7</v>
      </c>
      <c r="N3" s="202"/>
      <c r="O3" s="31"/>
    </row>
    <row r="4" spans="1:15" customFormat="1" ht="15" x14ac:dyDescent="0.2">
      <c r="A4" s="3"/>
      <c r="B4" s="135" t="str">
        <f>+'Data Entry'!B12</f>
        <v>Latest Rating:</v>
      </c>
      <c r="C4" s="785" t="str">
        <f>+IF('Data Entry'!C12="Please Select","",'Data Entry'!C12)</f>
        <v>B1</v>
      </c>
      <c r="D4" s="785"/>
      <c r="E4" s="742" t="str">
        <f>+'Data Entry'!C8</f>
        <v>MOH</v>
      </c>
      <c r="F4" s="742"/>
      <c r="G4" s="742"/>
      <c r="H4" s="742"/>
      <c r="I4" s="742"/>
      <c r="J4" s="742"/>
      <c r="K4" s="742"/>
      <c r="L4" s="135" t="str">
        <f>+'Data Entry'!D16</f>
        <v>From:</v>
      </c>
      <c r="M4" s="203" t="str">
        <f>+IF(ISBLANK('Data Entry'!E16),"",'Data Entry'!E16)</f>
        <v>July</v>
      </c>
      <c r="N4" s="203"/>
      <c r="O4" s="31"/>
    </row>
    <row r="5" spans="1:15" customFormat="1" ht="18.75" customHeight="1" x14ac:dyDescent="0.2">
      <c r="A5" s="3"/>
      <c r="B5" s="135"/>
      <c r="C5" s="135"/>
      <c r="D5" s="136"/>
      <c r="E5" s="742" t="str">
        <f>+'Data Entry'!G4</f>
        <v>Accelerating access to Prevention, treatment and home based care for malaria and increasing the access to affordable ACTs in the private Sector</v>
      </c>
      <c r="F5" s="742"/>
      <c r="G5" s="742"/>
      <c r="H5" s="742"/>
      <c r="I5" s="742"/>
      <c r="J5" s="742"/>
      <c r="K5" s="742"/>
      <c r="L5" s="135" t="str">
        <f>+'Data Entry'!F16</f>
        <v>To:</v>
      </c>
      <c r="M5" s="203" t="str">
        <f>+IF(ISBLANK('Data Entry'!G16),"",'Data Entry'!G16)</f>
        <v>Sept</v>
      </c>
      <c r="N5" s="203"/>
    </row>
    <row r="6" spans="1:15" customFormat="1" ht="22.5" customHeight="1" x14ac:dyDescent="0.25">
      <c r="A6" s="3"/>
      <c r="B6" s="140"/>
      <c r="C6" s="141"/>
      <c r="D6" s="142"/>
      <c r="E6" s="849" t="s">
        <v>315</v>
      </c>
      <c r="F6" s="849"/>
      <c r="G6" s="849"/>
      <c r="H6" s="849"/>
      <c r="I6" s="849"/>
      <c r="J6" s="849"/>
      <c r="K6" s="849"/>
      <c r="L6" s="2"/>
      <c r="M6" s="2"/>
      <c r="N6" s="2"/>
    </row>
    <row r="7" spans="1:15" s="33" customFormat="1" ht="4.5" customHeight="1" x14ac:dyDescent="0.15">
      <c r="A7" s="156"/>
      <c r="B7" s="157"/>
      <c r="C7" s="157"/>
      <c r="D7" s="157"/>
      <c r="E7" s="157"/>
      <c r="F7" s="157"/>
      <c r="G7" s="157"/>
      <c r="H7" s="157"/>
      <c r="I7" s="157"/>
      <c r="J7" s="157"/>
      <c r="K7" s="157"/>
      <c r="L7" s="158"/>
      <c r="M7" s="158"/>
      <c r="N7" s="159"/>
    </row>
    <row r="8" spans="1:15" s="33" customFormat="1" ht="21" customHeight="1" thickBot="1" x14ac:dyDescent="0.2">
      <c r="A8" s="156"/>
      <c r="B8" s="827" t="s">
        <v>99</v>
      </c>
      <c r="C8" s="827"/>
      <c r="D8" s="827"/>
      <c r="E8" s="827"/>
      <c r="F8" s="827"/>
      <c r="G8" s="827"/>
      <c r="H8" s="827"/>
      <c r="I8" s="827"/>
      <c r="J8" s="827"/>
      <c r="K8" s="827"/>
      <c r="L8" s="827"/>
      <c r="M8" s="827"/>
      <c r="N8" s="827"/>
    </row>
    <row r="9" spans="1:15" s="33" customFormat="1" ht="3.75" customHeight="1" thickBot="1" x14ac:dyDescent="0.2">
      <c r="A9" s="156"/>
      <c r="B9" s="157"/>
      <c r="C9" s="157"/>
      <c r="D9" s="157"/>
      <c r="E9" s="157"/>
      <c r="F9" s="157"/>
      <c r="G9" s="157"/>
      <c r="H9" s="157"/>
      <c r="I9" s="157"/>
      <c r="J9" s="157"/>
      <c r="K9" s="157"/>
      <c r="L9" s="158"/>
      <c r="M9" s="158"/>
      <c r="N9" s="159"/>
    </row>
    <row r="10" spans="1:15" s="34" customFormat="1" ht="25.5" customHeight="1" thickBot="1" x14ac:dyDescent="0.2">
      <c r="A10" s="160"/>
      <c r="B10" s="848" t="s">
        <v>94</v>
      </c>
      <c r="C10" s="840"/>
      <c r="D10" s="828" t="s">
        <v>98</v>
      </c>
      <c r="E10" s="829"/>
      <c r="F10" s="829"/>
      <c r="G10" s="830"/>
      <c r="H10" s="163"/>
      <c r="I10" s="828" t="s">
        <v>315</v>
      </c>
      <c r="J10" s="829"/>
      <c r="K10" s="829"/>
      <c r="L10" s="829"/>
      <c r="M10" s="829"/>
      <c r="N10" s="830"/>
    </row>
    <row r="11" spans="1:15" s="34" customFormat="1" ht="28.5" customHeight="1" x14ac:dyDescent="0.15">
      <c r="A11" s="160"/>
      <c r="B11" s="440" t="s">
        <v>102</v>
      </c>
      <c r="C11" s="180"/>
      <c r="D11" s="852" t="str">
        <f>IF(ISBLANK(Finance!C9),"",(Finance!C9))</f>
        <v xml:space="preserve">This does not include funds disbursed to PPM and Co-payment unit. </v>
      </c>
      <c r="E11" s="852"/>
      <c r="F11" s="852"/>
      <c r="G11" s="853"/>
      <c r="H11" s="186"/>
      <c r="I11" s="854"/>
      <c r="J11" s="855"/>
      <c r="K11" s="855"/>
      <c r="L11" s="855"/>
      <c r="M11" s="855"/>
      <c r="N11" s="856"/>
    </row>
    <row r="12" spans="1:15" s="34" customFormat="1" ht="27.75" customHeight="1" x14ac:dyDescent="0.15">
      <c r="A12" s="160"/>
      <c r="B12" s="441" t="s">
        <v>103</v>
      </c>
      <c r="C12" s="181"/>
      <c r="D12" s="852" t="str">
        <f>IF(ISBLANK(Finance!C23),"",(Finance!C23))</f>
        <v/>
      </c>
      <c r="E12" s="852"/>
      <c r="F12" s="852"/>
      <c r="G12" s="853"/>
      <c r="H12" s="186"/>
      <c r="I12" s="842"/>
      <c r="J12" s="843"/>
      <c r="K12" s="843"/>
      <c r="L12" s="843"/>
      <c r="M12" s="843"/>
      <c r="N12" s="844"/>
    </row>
    <row r="13" spans="1:15" s="34" customFormat="1" ht="26.25" customHeight="1" x14ac:dyDescent="0.15">
      <c r="A13" s="160"/>
      <c r="B13" s="441" t="s">
        <v>104</v>
      </c>
      <c r="C13" s="181"/>
      <c r="D13" s="852" t="str">
        <f>IF(ISBLANK(Finance!I9),"",(Finance!I9))</f>
        <v>Grant was signed late and disbursement was late</v>
      </c>
      <c r="E13" s="852"/>
      <c r="F13" s="852"/>
      <c r="G13" s="853"/>
      <c r="H13" s="186"/>
      <c r="I13" s="842"/>
      <c r="J13" s="843"/>
      <c r="K13" s="843"/>
      <c r="L13" s="843"/>
      <c r="M13" s="843"/>
      <c r="N13" s="844"/>
    </row>
    <row r="14" spans="1:15" s="34" customFormat="1" ht="28.5" customHeight="1" thickBot="1" x14ac:dyDescent="0.2">
      <c r="A14" s="160"/>
      <c r="B14" s="442" t="s">
        <v>105</v>
      </c>
      <c r="C14" s="182"/>
      <c r="D14" s="850" t="str">
        <f>IF(ISBLANK(Finance!I23),"",(Finance!I23))</f>
        <v/>
      </c>
      <c r="E14" s="850"/>
      <c r="F14" s="850"/>
      <c r="G14" s="851"/>
      <c r="H14" s="186"/>
      <c r="I14" s="845"/>
      <c r="J14" s="846"/>
      <c r="K14" s="846"/>
      <c r="L14" s="846"/>
      <c r="M14" s="846"/>
      <c r="N14" s="847"/>
    </row>
    <row r="15" spans="1:15" s="34" customFormat="1" ht="4.5" customHeight="1" x14ac:dyDescent="0.25">
      <c r="A15" s="160"/>
      <c r="B15" s="183"/>
      <c r="C15" s="184"/>
      <c r="D15" s="185"/>
      <c r="E15" s="185"/>
      <c r="F15" s="185"/>
      <c r="G15" s="185"/>
      <c r="H15" s="186"/>
      <c r="I15" s="187"/>
      <c r="J15" s="187"/>
      <c r="K15" s="187"/>
      <c r="L15" s="187"/>
      <c r="M15" s="187"/>
      <c r="N15" s="187"/>
      <c r="O15" s="75"/>
    </row>
    <row r="16" spans="1:15" s="33" customFormat="1" ht="21" customHeight="1" thickBot="1" x14ac:dyDescent="0.2">
      <c r="A16" s="156"/>
      <c r="B16" s="827" t="s">
        <v>101</v>
      </c>
      <c r="C16" s="827"/>
      <c r="D16" s="827"/>
      <c r="E16" s="827"/>
      <c r="F16" s="827"/>
      <c r="G16" s="827"/>
      <c r="H16" s="827"/>
      <c r="I16" s="827"/>
      <c r="J16" s="827"/>
      <c r="K16" s="827"/>
      <c r="L16" s="827"/>
      <c r="M16" s="827"/>
      <c r="N16" s="827"/>
    </row>
    <row r="17" spans="1:15" s="34" customFormat="1" ht="3.75" customHeight="1" thickBot="1" x14ac:dyDescent="0.2">
      <c r="A17" s="160"/>
      <c r="B17" s="169"/>
      <c r="C17" s="170"/>
      <c r="D17" s="171"/>
      <c r="E17" s="172"/>
      <c r="F17" s="173"/>
      <c r="G17" s="173"/>
      <c r="H17" s="174"/>
      <c r="I17" s="175"/>
      <c r="J17" s="176"/>
      <c r="K17" s="165"/>
      <c r="L17" s="166"/>
      <c r="M17" s="167"/>
      <c r="N17" s="168"/>
    </row>
    <row r="18" spans="1:15" s="34" customFormat="1" ht="22.5" customHeight="1" thickBot="1" x14ac:dyDescent="0.2">
      <c r="A18" s="160"/>
      <c r="B18" s="840" t="s">
        <v>95</v>
      </c>
      <c r="C18" s="841"/>
      <c r="D18" s="861" t="s">
        <v>98</v>
      </c>
      <c r="E18" s="862"/>
      <c r="F18" s="862"/>
      <c r="G18" s="863"/>
      <c r="H18" s="163"/>
      <c r="I18" s="858" t="s">
        <v>315</v>
      </c>
      <c r="J18" s="859"/>
      <c r="K18" s="859"/>
      <c r="L18" s="859"/>
      <c r="M18" s="860"/>
      <c r="N18" s="860"/>
    </row>
    <row r="19" spans="1:15" s="34" customFormat="1" ht="21.75" customHeight="1" x14ac:dyDescent="0.15">
      <c r="A19" s="160"/>
      <c r="B19" s="443" t="s">
        <v>110</v>
      </c>
      <c r="C19" s="188"/>
      <c r="D19" s="864" t="str">
        <f>IF(ISBLANK(Management!C8),"",(Management!C8))</f>
        <v>3 out of 6 Special conditions fulfiled. 2 are in progress ( the CP related to the supply chain and the M&amp;E ).  The one on the counterpart financing has not been met but it is not due yet.There are no CPs in current grant</v>
      </c>
      <c r="E19" s="864"/>
      <c r="F19" s="864"/>
      <c r="G19" s="865"/>
      <c r="H19" s="189"/>
      <c r="I19" s="831"/>
      <c r="J19" s="832"/>
      <c r="K19" s="832"/>
      <c r="L19" s="832"/>
      <c r="M19" s="832"/>
      <c r="N19" s="833"/>
    </row>
    <row r="20" spans="1:15" ht="24.75" customHeight="1" x14ac:dyDescent="0.15">
      <c r="A20" s="154"/>
      <c r="B20" s="444" t="s">
        <v>111</v>
      </c>
      <c r="C20" s="190"/>
      <c r="D20" s="852" t="str">
        <f>IF(ISBLANK(Management!I8),"",(Management!I8))</f>
        <v>3 Data Managers, Epidemiologist, Lab- focal person and Case Management focal person have been recruited.</v>
      </c>
      <c r="E20" s="852" t="e">
        <f>+'Data Entry'!D73/'Data Entry'!G73</f>
        <v>#DIV/0!</v>
      </c>
      <c r="F20" s="852" t="e">
        <f>+('Data Entry'!E73+'Data Entry'!F73)/'Data Entry'!G73</f>
        <v>#DIV/0!</v>
      </c>
      <c r="G20" s="857"/>
      <c r="H20" s="189"/>
      <c r="I20" s="837"/>
      <c r="J20" s="838"/>
      <c r="K20" s="838"/>
      <c r="L20" s="838"/>
      <c r="M20" s="838"/>
      <c r="N20" s="839"/>
      <c r="O20" s="35"/>
    </row>
    <row r="21" spans="1:15" ht="29.25" customHeight="1" x14ac:dyDescent="0.15">
      <c r="A21" s="154"/>
      <c r="B21" s="445" t="s">
        <v>112</v>
      </c>
      <c r="C21" s="190"/>
      <c r="D21" s="852" t="str">
        <f>IF(ISBLANK(Management!C16),"",(Management!C16))</f>
        <v xml:space="preserve">Performance assessment was conducted within the 3rd quarter to evaluate the activities of the 61 NGOs enagage for renewable contract term ending June, 2016. After assessment 33 NGO have been retained with activities commencing in October 2016 </v>
      </c>
      <c r="E21" s="852"/>
      <c r="F21" s="852"/>
      <c r="G21" s="857"/>
      <c r="H21" s="189"/>
      <c r="I21" s="837"/>
      <c r="J21" s="838"/>
      <c r="K21" s="838"/>
      <c r="L21" s="838"/>
      <c r="M21" s="838"/>
      <c r="N21" s="839"/>
      <c r="O21" s="35"/>
    </row>
    <row r="22" spans="1:15" ht="26.25" customHeight="1" x14ac:dyDescent="0.15">
      <c r="A22" s="154"/>
      <c r="B22" s="445" t="s">
        <v>113</v>
      </c>
      <c r="C22" s="190"/>
      <c r="D22" s="852" t="str">
        <f>IF(ISBLANK(Management!I16),"",(Management!I16))</f>
        <v>Reports not due  during the current quarter because they have just been reengaged</v>
      </c>
      <c r="E22" s="852"/>
      <c r="F22" s="852"/>
      <c r="G22" s="857"/>
      <c r="H22" s="189"/>
      <c r="I22" s="837"/>
      <c r="J22" s="838"/>
      <c r="K22" s="838"/>
      <c r="L22" s="838"/>
      <c r="M22" s="838"/>
      <c r="N22" s="839"/>
      <c r="O22" s="35"/>
    </row>
    <row r="23" spans="1:15" ht="24.75" customHeight="1" x14ac:dyDescent="0.15">
      <c r="A23" s="154"/>
      <c r="B23" s="445" t="s">
        <v>114</v>
      </c>
      <c r="C23" s="190"/>
      <c r="D23" s="852" t="str">
        <f>IF(ISBLANK(Management!C27),"",(Management!C27))</f>
        <v/>
      </c>
      <c r="E23" s="852"/>
      <c r="F23" s="852"/>
      <c r="G23" s="857"/>
      <c r="H23" s="189"/>
      <c r="I23" s="837"/>
      <c r="J23" s="838"/>
      <c r="K23" s="838"/>
      <c r="L23" s="838"/>
      <c r="M23" s="838"/>
      <c r="N23" s="839"/>
      <c r="O23" s="35"/>
    </row>
    <row r="24" spans="1:15" ht="27" customHeight="1" thickBot="1" x14ac:dyDescent="0.2">
      <c r="A24" s="154"/>
      <c r="B24" s="446" t="s">
        <v>116</v>
      </c>
      <c r="C24" s="191"/>
      <c r="D24" s="870" t="str">
        <f>IF(ISBLANK(Management!I27),"",(Management!I27))</f>
        <v/>
      </c>
      <c r="E24" s="870"/>
      <c r="F24" s="870"/>
      <c r="G24" s="871"/>
      <c r="H24" s="189"/>
      <c r="I24" s="834"/>
      <c r="J24" s="835"/>
      <c r="K24" s="835"/>
      <c r="L24" s="835"/>
      <c r="M24" s="835"/>
      <c r="N24" s="836"/>
      <c r="O24" s="35"/>
    </row>
    <row r="25" spans="1:15" ht="4.5" customHeight="1" x14ac:dyDescent="0.15">
      <c r="A25" s="156"/>
      <c r="B25" s="161"/>
      <c r="C25" s="162"/>
      <c r="D25" s="177"/>
      <c r="E25" s="178"/>
      <c r="F25" s="179"/>
      <c r="G25" s="179"/>
      <c r="H25" s="163"/>
      <c r="I25" s="178"/>
      <c r="J25" s="164"/>
      <c r="K25" s="165"/>
      <c r="L25" s="166"/>
      <c r="M25" s="167"/>
      <c r="N25" s="168"/>
      <c r="O25" s="35"/>
    </row>
    <row r="26" spans="1:15" s="33" customFormat="1" ht="21" customHeight="1" thickBot="1" x14ac:dyDescent="0.2">
      <c r="A26" s="156"/>
      <c r="B26" s="827" t="s">
        <v>100</v>
      </c>
      <c r="C26" s="827"/>
      <c r="D26" s="827"/>
      <c r="E26" s="827"/>
      <c r="F26" s="827"/>
      <c r="G26" s="827"/>
      <c r="H26" s="827"/>
      <c r="I26" s="827"/>
      <c r="J26" s="827"/>
      <c r="K26" s="827"/>
      <c r="L26" s="827"/>
      <c r="M26" s="827"/>
      <c r="N26" s="827"/>
    </row>
    <row r="27" spans="1:15" ht="3.75" customHeight="1" thickBot="1" x14ac:dyDescent="0.2">
      <c r="A27" s="156"/>
      <c r="B27" s="161"/>
      <c r="C27" s="162"/>
      <c r="D27" s="177"/>
      <c r="E27" s="178"/>
      <c r="F27" s="179"/>
      <c r="G27" s="179"/>
      <c r="H27" s="163"/>
      <c r="I27" s="178"/>
      <c r="J27" s="164"/>
      <c r="K27" s="165"/>
      <c r="L27" s="166"/>
      <c r="M27" s="167"/>
      <c r="N27" s="168"/>
      <c r="O27" s="35"/>
    </row>
    <row r="28" spans="1:15" ht="21.75" customHeight="1" thickBot="1" x14ac:dyDescent="0.2">
      <c r="A28" s="154"/>
      <c r="B28" s="848" t="s">
        <v>7</v>
      </c>
      <c r="C28" s="841"/>
      <c r="D28" s="872" t="s">
        <v>98</v>
      </c>
      <c r="E28" s="873"/>
      <c r="F28" s="873"/>
      <c r="G28" s="874"/>
      <c r="H28" s="163"/>
      <c r="I28" s="872" t="s">
        <v>315</v>
      </c>
      <c r="J28" s="873"/>
      <c r="K28" s="873"/>
      <c r="L28" s="873"/>
      <c r="M28" s="873"/>
      <c r="N28" s="874"/>
      <c r="O28" s="35"/>
    </row>
    <row r="29" spans="1:15" ht="29.25" customHeight="1" x14ac:dyDescent="0.15">
      <c r="A29" s="154"/>
      <c r="B29" s="447" t="s">
        <v>316</v>
      </c>
      <c r="C29" s="192"/>
      <c r="D29" s="875" t="str">
        <f>IF(ISBLANK(Programmatic!C9),"",(Programmatic!C9))</f>
        <v>2,634,268 (53.4% ) out of 4,929,983 suspected malaria cases were treated with ACTs during the semester under review.  The reduction in use of ACTs is due to the increase in parasitological diagnosis of suspected malaria cases, thus increase in rational use of ACTs</v>
      </c>
      <c r="E29" s="876"/>
      <c r="F29" s="876"/>
      <c r="G29" s="877"/>
      <c r="H29" s="189"/>
      <c r="I29" s="878"/>
      <c r="J29" s="879"/>
      <c r="K29" s="879"/>
      <c r="L29" s="879"/>
      <c r="M29" s="879"/>
      <c r="N29" s="880"/>
      <c r="O29" s="35"/>
    </row>
    <row r="30" spans="1:15" ht="21.75" customHeight="1" x14ac:dyDescent="0.15">
      <c r="A30" s="154"/>
      <c r="B30" s="448" t="s">
        <v>317</v>
      </c>
      <c r="C30" s="193"/>
      <c r="D30" s="869" t="str">
        <f>IF(ISBLANK(Programmatic!G9),"",(Programmatic!G9))</f>
        <v>Out of 488,807 ANC registrants, 291,498 (60%) received IPTp1, 240,870 (49.3%) IPTp2 and 174,219 (36%) IPTp3. This performance is mainly due to shortage of SP during the period under review</v>
      </c>
      <c r="E30" s="867"/>
      <c r="F30" s="867"/>
      <c r="G30" s="868"/>
      <c r="H30" s="189"/>
      <c r="I30" s="821"/>
      <c r="J30" s="822"/>
      <c r="K30" s="822"/>
      <c r="L30" s="822"/>
      <c r="M30" s="822"/>
      <c r="N30" s="823"/>
      <c r="O30" s="35"/>
    </row>
    <row r="31" spans="1:15" ht="21.75" customHeight="1" x14ac:dyDescent="0.15">
      <c r="A31" s="154"/>
      <c r="B31" s="448" t="s">
        <v>318</v>
      </c>
      <c r="C31" s="193"/>
      <c r="D31" s="869" t="str">
        <f>IF(ISBLANK(Programmatic!M9),"",(Programmatic!M9))</f>
        <v xml:space="preserve">1,762,766 (97%) of expected LLINs to be distributed) LLINs distributed in the Northern region during the semester under review. </v>
      </c>
      <c r="E31" s="867"/>
      <c r="F31" s="867"/>
      <c r="G31" s="868"/>
      <c r="H31" s="189"/>
      <c r="I31" s="821"/>
      <c r="J31" s="822"/>
      <c r="K31" s="822"/>
      <c r="L31" s="822"/>
      <c r="M31" s="822"/>
      <c r="N31" s="823"/>
      <c r="O31" s="35"/>
    </row>
    <row r="32" spans="1:15" ht="21.75" customHeight="1" x14ac:dyDescent="0.15">
      <c r="A32" s="154"/>
      <c r="B32" s="449" t="s">
        <v>106</v>
      </c>
      <c r="C32" s="193"/>
      <c r="D32" s="866" t="str">
        <f>IF(ISBLANK(Programmatic!L20),"",(Programmatic!L20))</f>
        <v>1,503,406 (56% ) out of 2,669,296 suspected malaria cases were treated with ACTs during the quarter under review.  The reduction in use of ACTs is due to the increase in parasitological diagnosis of suspected malaria cases, thus increase in rational use of ACT s</v>
      </c>
      <c r="E32" s="867"/>
      <c r="F32" s="867"/>
      <c r="G32" s="868"/>
      <c r="H32" s="189"/>
      <c r="I32" s="821"/>
      <c r="J32" s="822"/>
      <c r="K32" s="822"/>
      <c r="L32" s="822"/>
      <c r="M32" s="822"/>
      <c r="N32" s="823"/>
      <c r="O32" s="35"/>
    </row>
    <row r="33" spans="1:15" ht="27" customHeight="1" x14ac:dyDescent="0.15">
      <c r="A33" s="154"/>
      <c r="B33" s="449" t="s">
        <v>107</v>
      </c>
      <c r="C33" s="193"/>
      <c r="D33" s="866" t="str">
        <f>IF(ISBLANK(Programmatic!L21),"",(Programmatic!L21))</f>
        <v>Out of 220,012 ANC registrants, 165,411 (75%) received IPTp1, 165,411 (59%) IPTp2 and 88657 (40%) IPTp3. IPTp3 coverage was 36% for January-June against 40% in third quarter only. Improvement in third quarter was due to distribution of SP within the quarter. Further improvement is expected by the end of the year.</v>
      </c>
      <c r="E33" s="867"/>
      <c r="F33" s="867"/>
      <c r="G33" s="868"/>
      <c r="H33" s="189"/>
      <c r="I33" s="821"/>
      <c r="J33" s="822"/>
      <c r="K33" s="822"/>
      <c r="L33" s="822"/>
      <c r="M33" s="822"/>
      <c r="N33" s="823"/>
      <c r="O33" s="35"/>
    </row>
    <row r="34" spans="1:15" ht="21.75" customHeight="1" x14ac:dyDescent="0.15">
      <c r="A34" s="154"/>
      <c r="B34" s="449" t="s">
        <v>108</v>
      </c>
      <c r="C34" s="193"/>
      <c r="D34" s="866" t="str">
        <f>IF(ISBLANK(Programmatic!L22),"",(Programmatic!L22))</f>
        <v>Total LLINs distributed during the period under review was 2,440,710. 464,285 LLINs was distributed in Upper West and 1,971,922 in Greater Accra as part of mass campaign. 4,503 was distributed in Pakro in Eastern Region as part of LLINs durability study</v>
      </c>
      <c r="E34" s="867"/>
      <c r="F34" s="867"/>
      <c r="G34" s="868"/>
      <c r="H34" s="189"/>
      <c r="I34" s="821"/>
      <c r="J34" s="822"/>
      <c r="K34" s="822"/>
      <c r="L34" s="822"/>
      <c r="M34" s="822"/>
      <c r="N34" s="823"/>
      <c r="O34" s="35"/>
    </row>
    <row r="35" spans="1:15" ht="21.75" customHeight="1" x14ac:dyDescent="0.15">
      <c r="A35" s="154"/>
      <c r="B35" s="449" t="s">
        <v>109</v>
      </c>
      <c r="C35" s="236"/>
      <c r="D35" s="866" t="str">
        <f>IF(ISBLANK(Programmatic!L23),"",(Programmatic!L23))</f>
        <v xml:space="preserve">A total population of 5,060,848 was covered through mass campaign during the quarter under review. Thus the total cummulative coverage is 25,759,492= 4,304,564 (2014 VR+ER coverage depreciated by 20%) +13,888,670 (2015 BAR+WR+CR+ASH+UE coverage depreciated by 8%) + 3,172,979 (2016 NR)+810,069 (Upper West, 2016)+4,242,890 (GAR, 2016)+7,889 (Pakro,2016). </v>
      </c>
      <c r="E35" s="867"/>
      <c r="F35" s="867"/>
      <c r="G35" s="868"/>
      <c r="H35" s="189"/>
      <c r="I35" s="821"/>
      <c r="J35" s="822"/>
      <c r="K35" s="822"/>
      <c r="L35" s="822"/>
      <c r="M35" s="822"/>
      <c r="N35" s="823"/>
      <c r="O35" s="35"/>
    </row>
    <row r="36" spans="1:15" ht="21.75" customHeight="1" x14ac:dyDescent="0.15">
      <c r="A36" s="154"/>
      <c r="B36" s="449" t="s">
        <v>121</v>
      </c>
      <c r="C36" s="236"/>
      <c r="D36" s="866" t="str">
        <f>IF(ISBLANK(Programmatic!L24),"",(Programmatic!L24))</f>
        <v xml:space="preserve">2,108,716 (79%) out of  2,669,296 suspected malaria cases were tested within the quarter under review. This achievement is due to ongoing promotion of testing before treatment and adequate supply of RDTs in the country. </v>
      </c>
      <c r="E36" s="867"/>
      <c r="F36" s="867"/>
      <c r="G36" s="868"/>
      <c r="H36" s="189"/>
      <c r="I36" s="821"/>
      <c r="J36" s="822"/>
      <c r="K36" s="822"/>
      <c r="L36" s="822"/>
      <c r="M36" s="822"/>
      <c r="N36" s="823"/>
      <c r="O36" s="35"/>
    </row>
    <row r="37" spans="1:15" ht="21.75" customHeight="1" x14ac:dyDescent="0.15">
      <c r="A37" s="154"/>
      <c r="B37" s="449" t="s">
        <v>122</v>
      </c>
      <c r="C37" s="236"/>
      <c r="D37" s="866" t="str">
        <f>IF(ISBLANK(Programmatic!L25),"",(Programmatic!L25))</f>
        <v xml:space="preserve">During the quarter under review, 1,147,456 LLINs were distributed to pregnant women, children under five (211,099) via health facility and class 2 and 6 pupils (936357) via school distribution. </v>
      </c>
      <c r="E37" s="867"/>
      <c r="F37" s="867"/>
      <c r="G37" s="868"/>
      <c r="H37" s="189"/>
      <c r="I37" s="821"/>
      <c r="J37" s="822"/>
      <c r="K37" s="822"/>
      <c r="L37" s="822"/>
      <c r="M37" s="822"/>
      <c r="N37" s="823"/>
      <c r="O37" s="35"/>
    </row>
    <row r="38" spans="1:15" ht="21.75" customHeight="1" x14ac:dyDescent="0.15">
      <c r="A38" s="154"/>
      <c r="B38" s="449" t="s">
        <v>123</v>
      </c>
      <c r="C38" s="236"/>
      <c r="D38" s="866" t="str">
        <f>IF(ISBLANK(Programmatic!L26),"",(Programmatic!L26))</f>
        <v>The programme is no longer reporting on this indicator.</v>
      </c>
      <c r="E38" s="867"/>
      <c r="F38" s="867"/>
      <c r="G38" s="868"/>
      <c r="H38" s="189"/>
      <c r="I38" s="821"/>
      <c r="J38" s="822"/>
      <c r="K38" s="822"/>
      <c r="L38" s="822"/>
      <c r="M38" s="822"/>
      <c r="N38" s="823"/>
      <c r="O38" s="35"/>
    </row>
    <row r="39" spans="1:15" ht="21.75" customHeight="1" x14ac:dyDescent="0.15">
      <c r="A39" s="154"/>
      <c r="B39" s="449" t="s">
        <v>124</v>
      </c>
      <c r="C39" s="236"/>
      <c r="D39" s="866" t="str">
        <f>IF(ISBLANK(Programmatic!L27),"",(Programmatic!L27))</f>
        <v xml:space="preserve">All 3,303,744 tested positive cases reported at the end of the period under review were treated with ACTs. </v>
      </c>
      <c r="E39" s="867"/>
      <c r="F39" s="867"/>
      <c r="G39" s="868"/>
      <c r="H39" s="189"/>
      <c r="I39" s="821"/>
      <c r="J39" s="822"/>
      <c r="K39" s="822"/>
      <c r="L39" s="822"/>
      <c r="M39" s="822"/>
      <c r="N39" s="823"/>
      <c r="O39" s="35"/>
    </row>
    <row r="40" spans="1:15" ht="21.75" customHeight="1" x14ac:dyDescent="0.15">
      <c r="A40" s="154"/>
      <c r="B40" s="449" t="s">
        <v>125</v>
      </c>
      <c r="C40" s="236"/>
      <c r="D40" s="866" t="str">
        <f>IF(ISBLANK(Programmatic!L28),"",(Programmatic!L28))</f>
        <v/>
      </c>
      <c r="E40" s="867"/>
      <c r="F40" s="867"/>
      <c r="G40" s="868"/>
      <c r="H40" s="189"/>
      <c r="I40" s="821"/>
      <c r="J40" s="822"/>
      <c r="K40" s="822"/>
      <c r="L40" s="822"/>
      <c r="M40" s="822"/>
      <c r="N40" s="823"/>
      <c r="O40" s="35"/>
    </row>
    <row r="41" spans="1:15" ht="21.75" customHeight="1" thickBot="1" x14ac:dyDescent="0.2">
      <c r="A41" s="154"/>
      <c r="B41" s="449" t="s">
        <v>126</v>
      </c>
      <c r="C41" s="194"/>
      <c r="D41" s="866" t="str">
        <f>IF(ISBLANK(Programmatic!L29),"",(Programmatic!L29))</f>
        <v/>
      </c>
      <c r="E41" s="867"/>
      <c r="F41" s="867"/>
      <c r="G41" s="868"/>
      <c r="H41" s="189"/>
      <c r="I41" s="824"/>
      <c r="J41" s="825"/>
      <c r="K41" s="825"/>
      <c r="L41" s="825"/>
      <c r="M41" s="825"/>
      <c r="N41" s="826"/>
      <c r="O41" s="35"/>
    </row>
    <row r="42" spans="1:15" ht="14" x14ac:dyDescent="0.15">
      <c r="A42" s="154"/>
      <c r="B42" s="195"/>
      <c r="C42" s="195"/>
      <c r="D42" s="196"/>
      <c r="E42" s="154"/>
      <c r="F42" s="195"/>
      <c r="G42" s="195"/>
      <c r="H42" s="154"/>
      <c r="I42" s="197"/>
      <c r="J42" s="154"/>
      <c r="K42" s="198"/>
      <c r="L42" s="198"/>
      <c r="M42" s="198"/>
      <c r="N42" s="198"/>
      <c r="O42" s="35"/>
    </row>
  </sheetData>
  <sheetProtection password="CFC9" sheet="1"/>
  <mergeCells count="65">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 ref="D36:G36"/>
    <mergeCell ref="D30:G30"/>
    <mergeCell ref="D31:G31"/>
    <mergeCell ref="D24:G24"/>
    <mergeCell ref="D33:G3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B2:N2"/>
    <mergeCell ref="E5:K5"/>
    <mergeCell ref="E6:K6"/>
    <mergeCell ref="E3:K3"/>
    <mergeCell ref="C4:D4"/>
    <mergeCell ref="E4:K4"/>
    <mergeCell ref="C3:D3"/>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I40:N40"/>
    <mergeCell ref="I41:N41"/>
    <mergeCell ref="I35:N35"/>
    <mergeCell ref="I36:N36"/>
    <mergeCell ref="I37:N37"/>
    <mergeCell ref="I38:N38"/>
    <mergeCell ref="I39:N39"/>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indexed="27"/>
  </sheetPr>
  <dimension ref="A1:M43"/>
  <sheetViews>
    <sheetView showGridLines="0" zoomScale="110" zoomScaleNormal="110" zoomScaleSheetLayoutView="100" zoomScalePageLayoutView="110" workbookViewId="0">
      <selection activeCell="L3" sqref="L3"/>
    </sheetView>
  </sheetViews>
  <sheetFormatPr baseColWidth="10" defaultColWidth="11" defaultRowHeight="15" x14ac:dyDescent="0.2"/>
  <cols>
    <col min="1" max="1" width="4.1640625" customWidth="1"/>
    <col min="2" max="2" width="14.5" customWidth="1"/>
    <col min="3" max="3" width="12.5" customWidth="1"/>
    <col min="4" max="4" width="11.5" customWidth="1"/>
    <col min="5" max="5" width="19" customWidth="1"/>
    <col min="6" max="6" width="1.5" customWidth="1"/>
    <col min="7" max="7" width="11.5" customWidth="1"/>
    <col min="8" max="8" width="9.5" customWidth="1"/>
    <col min="9" max="9" width="11.5" customWidth="1"/>
    <col min="10" max="10" width="12.5" customWidth="1"/>
    <col min="11" max="11" width="10.5" customWidth="1"/>
    <col min="12" max="12" width="9.6640625" customWidth="1"/>
  </cols>
  <sheetData>
    <row r="1" spans="1:13" ht="30.75" customHeight="1" x14ac:dyDescent="0.2"/>
    <row r="2" spans="1:13" ht="27.75" customHeight="1" x14ac:dyDescent="0.2">
      <c r="B2" s="766" t="str">
        <f>+"Dashboard:  "&amp;"  "&amp;IF(+'Data Entry'!C4="Please Select","",'Data Entry'!C4&amp;" - ")&amp;IF('Data Entry'!G6="Please Select","",'Data Entry'!G6)</f>
        <v>Dashboard:    Ghana - MALARIA</v>
      </c>
      <c r="C2" s="766"/>
      <c r="D2" s="766"/>
      <c r="E2" s="766"/>
      <c r="F2" s="766"/>
      <c r="G2" s="766"/>
      <c r="H2" s="766"/>
      <c r="I2" s="766"/>
      <c r="J2" s="766"/>
      <c r="K2" s="766"/>
      <c r="L2" s="766"/>
    </row>
    <row r="3" spans="1:13" x14ac:dyDescent="0.2">
      <c r="B3" s="24" t="str">
        <f>+IF('Data Entry'!G8="Please Select","",'Data Entry'!G8)</f>
        <v/>
      </c>
      <c r="C3" s="773" t="str">
        <f>+IF('Data Entry'!I8="Please Select","",'Data Entry'!I8)</f>
        <v/>
      </c>
      <c r="D3" s="773"/>
      <c r="E3" s="768"/>
      <c r="F3" s="768"/>
      <c r="G3" s="768"/>
      <c r="H3" s="768"/>
      <c r="I3" s="768"/>
      <c r="J3" s="769" t="str">
        <f>+'Data Entry'!B16</f>
        <v>Report Period:</v>
      </c>
      <c r="K3" s="769"/>
      <c r="L3" s="202" t="str">
        <f>+'Data Entry'!C16</f>
        <v>P7</v>
      </c>
      <c r="M3" s="85"/>
    </row>
    <row r="4" spans="1:13" x14ac:dyDescent="0.2">
      <c r="B4" s="24" t="str">
        <f>+'Data Entry'!B12</f>
        <v>Latest Rating:</v>
      </c>
      <c r="C4" s="923" t="str">
        <f>+IF('Data Entry'!C12="Please Select","",'Data Entry'!C12)</f>
        <v>B1</v>
      </c>
      <c r="D4" s="923"/>
      <c r="E4" s="768" t="str">
        <f>+'Data Entry'!C8</f>
        <v>MOH</v>
      </c>
      <c r="F4" s="768"/>
      <c r="G4" s="768"/>
      <c r="H4" s="768"/>
      <c r="I4" s="768"/>
      <c r="J4" s="769" t="str">
        <f>+'Data Entry'!D16</f>
        <v>From:</v>
      </c>
      <c r="K4" s="777"/>
      <c r="L4" s="203" t="str">
        <f>+IF(ISBLANK('Data Entry'!E16),"",'Data Entry'!E16)</f>
        <v>July</v>
      </c>
    </row>
    <row r="5" spans="1:13" ht="18.75" customHeight="1" x14ac:dyDescent="0.2">
      <c r="B5" s="24"/>
      <c r="C5" s="24"/>
      <c r="D5" s="768" t="str">
        <f>+'Data Entry'!G4</f>
        <v>Accelerating access to Prevention, treatment and home based care for malaria and increasing the access to affordable ACTs in the private Sector</v>
      </c>
      <c r="E5" s="768"/>
      <c r="F5" s="768"/>
      <c r="G5" s="768"/>
      <c r="H5" s="768"/>
      <c r="I5" s="768"/>
      <c r="J5" s="768"/>
      <c r="K5" s="24" t="str">
        <f>+'Data Entry'!F16</f>
        <v>To:</v>
      </c>
      <c r="L5" s="203" t="str">
        <f>+IF(ISBLANK('Data Entry'!G16),"",'Data Entry'!G16)</f>
        <v>Sept</v>
      </c>
    </row>
    <row r="6" spans="1:13" ht="19" x14ac:dyDescent="0.25">
      <c r="B6" s="23"/>
      <c r="C6" s="24"/>
      <c r="D6" s="25"/>
      <c r="E6" s="767" t="s">
        <v>372</v>
      </c>
      <c r="F6" s="767"/>
      <c r="G6" s="767"/>
      <c r="H6" s="767"/>
      <c r="I6" s="767"/>
    </row>
    <row r="7" spans="1:13" ht="19" x14ac:dyDescent="0.25">
      <c r="E7" s="72"/>
      <c r="F7" s="72"/>
      <c r="G7" s="72"/>
      <c r="H7" s="72"/>
      <c r="I7" s="72"/>
    </row>
    <row r="8" spans="1:13" s="33" customFormat="1" ht="21" customHeight="1" thickBot="1" x14ac:dyDescent="0.2">
      <c r="B8" s="76" t="s">
        <v>96</v>
      </c>
      <c r="C8" s="76"/>
      <c r="D8" s="76"/>
      <c r="E8" s="76"/>
      <c r="F8" s="76"/>
      <c r="G8" s="76"/>
      <c r="H8" s="76"/>
      <c r="I8" s="76"/>
      <c r="J8" s="76"/>
      <c r="K8" s="76"/>
      <c r="L8" s="76"/>
    </row>
    <row r="9" spans="1:13" ht="6" customHeight="1" x14ac:dyDescent="0.2">
      <c r="B9" s="74"/>
    </row>
    <row r="10" spans="1:13" x14ac:dyDescent="0.2">
      <c r="B10" s="925"/>
      <c r="C10" s="926"/>
      <c r="D10" s="926"/>
      <c r="E10" s="926"/>
      <c r="F10" s="926"/>
      <c r="G10" s="926"/>
      <c r="H10" s="926"/>
      <c r="I10" s="926"/>
      <c r="J10" s="926"/>
      <c r="K10" s="926"/>
      <c r="L10" s="927"/>
    </row>
    <row r="11" spans="1:13" x14ac:dyDescent="0.2">
      <c r="B11" s="928"/>
      <c r="C11" s="929"/>
      <c r="D11" s="929"/>
      <c r="E11" s="929"/>
      <c r="F11" s="929"/>
      <c r="G11" s="929"/>
      <c r="H11" s="929"/>
      <c r="I11" s="929"/>
      <c r="J11" s="929"/>
      <c r="K11" s="929"/>
      <c r="L11" s="930"/>
    </row>
    <row r="12" spans="1:13" ht="16" thickBot="1" x14ac:dyDescent="0.25"/>
    <row r="13" spans="1:13" ht="26.25" customHeight="1" thickBot="1" x14ac:dyDescent="0.25">
      <c r="B13" s="898" t="s">
        <v>305</v>
      </c>
      <c r="C13" s="899"/>
      <c r="D13" s="899"/>
      <c r="E13" s="900"/>
      <c r="F13" s="77"/>
      <c r="G13" s="889" t="s">
        <v>129</v>
      </c>
      <c r="H13" s="890"/>
      <c r="I13" s="890"/>
      <c r="J13" s="78" t="s">
        <v>97</v>
      </c>
      <c r="K13" s="890" t="s">
        <v>293</v>
      </c>
      <c r="L13" s="931"/>
    </row>
    <row r="14" spans="1:13" x14ac:dyDescent="0.2">
      <c r="A14" s="893" t="s">
        <v>306</v>
      </c>
      <c r="B14" s="891"/>
      <c r="C14" s="891"/>
      <c r="D14" s="891"/>
      <c r="E14" s="892"/>
      <c r="F14" s="46"/>
      <c r="G14" s="922"/>
      <c r="H14" s="921"/>
      <c r="I14" s="921"/>
      <c r="J14" s="921"/>
      <c r="K14" s="921"/>
      <c r="L14" s="924"/>
    </row>
    <row r="15" spans="1:13" x14ac:dyDescent="0.2">
      <c r="A15" s="894"/>
      <c r="B15" s="891"/>
      <c r="C15" s="891"/>
      <c r="D15" s="891"/>
      <c r="E15" s="892"/>
      <c r="F15" s="46"/>
      <c r="G15" s="896"/>
      <c r="H15" s="881"/>
      <c r="I15" s="881"/>
      <c r="J15" s="881"/>
      <c r="K15" s="881"/>
      <c r="L15" s="882"/>
    </row>
    <row r="16" spans="1:13" x14ac:dyDescent="0.2">
      <c r="A16" s="894"/>
      <c r="B16" s="891"/>
      <c r="C16" s="891"/>
      <c r="D16" s="891"/>
      <c r="E16" s="892"/>
      <c r="F16" s="46"/>
      <c r="G16" s="896"/>
      <c r="H16" s="881"/>
      <c r="I16" s="881"/>
      <c r="J16" s="881"/>
      <c r="K16" s="881"/>
      <c r="L16" s="882"/>
    </row>
    <row r="17" spans="1:12" x14ac:dyDescent="0.2">
      <c r="A17" s="894"/>
      <c r="B17" s="891"/>
      <c r="C17" s="891"/>
      <c r="D17" s="891"/>
      <c r="E17" s="892"/>
      <c r="F17" s="46"/>
      <c r="G17" s="896"/>
      <c r="H17" s="881"/>
      <c r="I17" s="881"/>
      <c r="J17" s="881"/>
      <c r="K17" s="881"/>
      <c r="L17" s="882"/>
    </row>
    <row r="18" spans="1:12" x14ac:dyDescent="0.2">
      <c r="A18" s="894"/>
      <c r="B18" s="891"/>
      <c r="C18" s="891"/>
      <c r="D18" s="891"/>
      <c r="E18" s="892"/>
      <c r="F18" s="46"/>
      <c r="G18" s="883"/>
      <c r="H18" s="884"/>
      <c r="I18" s="885"/>
      <c r="J18" s="881"/>
      <c r="K18" s="881"/>
      <c r="L18" s="882"/>
    </row>
    <row r="19" spans="1:12" ht="30.75" customHeight="1" x14ac:dyDescent="0.2">
      <c r="A19" s="894"/>
      <c r="B19" s="891"/>
      <c r="C19" s="891"/>
      <c r="D19" s="891"/>
      <c r="E19" s="892"/>
      <c r="F19" s="46"/>
      <c r="G19" s="886"/>
      <c r="H19" s="887"/>
      <c r="I19" s="888"/>
      <c r="J19" s="881"/>
      <c r="K19" s="881"/>
      <c r="L19" s="882"/>
    </row>
    <row r="20" spans="1:12" x14ac:dyDescent="0.2">
      <c r="A20" s="894"/>
      <c r="B20" s="891"/>
      <c r="C20" s="891"/>
      <c r="D20" s="891"/>
      <c r="E20" s="892"/>
      <c r="F20" s="46"/>
      <c r="G20" s="896"/>
      <c r="H20" s="881"/>
      <c r="I20" s="881"/>
      <c r="J20" s="881"/>
      <c r="K20" s="881"/>
      <c r="L20" s="882"/>
    </row>
    <row r="21" spans="1:12" x14ac:dyDescent="0.2">
      <c r="A21" s="894"/>
      <c r="B21" s="891"/>
      <c r="C21" s="891"/>
      <c r="D21" s="891"/>
      <c r="E21" s="892"/>
      <c r="F21" s="46"/>
      <c r="G21" s="896"/>
      <c r="H21" s="881"/>
      <c r="I21" s="881"/>
      <c r="J21" s="881"/>
      <c r="K21" s="881"/>
      <c r="L21" s="882"/>
    </row>
    <row r="22" spans="1:12" x14ac:dyDescent="0.2">
      <c r="A22" s="894"/>
      <c r="B22" s="891"/>
      <c r="C22" s="891"/>
      <c r="D22" s="891"/>
      <c r="E22" s="892"/>
      <c r="F22" s="46"/>
      <c r="G22" s="896"/>
      <c r="H22" s="881"/>
      <c r="I22" s="881"/>
      <c r="J22" s="881"/>
      <c r="K22" s="881"/>
      <c r="L22" s="882"/>
    </row>
    <row r="23" spans="1:12" x14ac:dyDescent="0.2">
      <c r="A23" s="894"/>
      <c r="B23" s="891"/>
      <c r="C23" s="891"/>
      <c r="D23" s="891"/>
      <c r="E23" s="892"/>
      <c r="F23" s="46"/>
      <c r="G23" s="896"/>
      <c r="H23" s="881"/>
      <c r="I23" s="881"/>
      <c r="J23" s="881"/>
      <c r="K23" s="881"/>
      <c r="L23" s="882"/>
    </row>
    <row r="24" spans="1:12" x14ac:dyDescent="0.2">
      <c r="A24" s="894"/>
      <c r="B24" s="891"/>
      <c r="C24" s="891"/>
      <c r="D24" s="891"/>
      <c r="E24" s="892"/>
      <c r="F24" s="46"/>
      <c r="G24" s="896"/>
      <c r="H24" s="881"/>
      <c r="I24" s="881"/>
      <c r="J24" s="881"/>
      <c r="K24" s="881"/>
      <c r="L24" s="882"/>
    </row>
    <row r="25" spans="1:12" ht="16" thickBot="1" x14ac:dyDescent="0.25">
      <c r="A25" s="895"/>
      <c r="B25" s="915"/>
      <c r="C25" s="915"/>
      <c r="D25" s="915"/>
      <c r="E25" s="916"/>
      <c r="F25" s="46"/>
      <c r="G25" s="901"/>
      <c r="H25" s="902"/>
      <c r="I25" s="902"/>
      <c r="J25" s="902"/>
      <c r="K25" s="902"/>
      <c r="L25" s="932"/>
    </row>
    <row r="27" spans="1:12" ht="19" x14ac:dyDescent="0.25">
      <c r="E27" s="897" t="s">
        <v>335</v>
      </c>
      <c r="F27" s="897"/>
      <c r="G27" s="897"/>
      <c r="H27" s="897"/>
      <c r="I27" s="897"/>
    </row>
    <row r="28" spans="1:12" ht="6" customHeight="1" x14ac:dyDescent="0.25">
      <c r="E28" s="72"/>
      <c r="F28" s="72"/>
      <c r="G28" s="72"/>
      <c r="H28" s="72"/>
      <c r="I28" s="72"/>
    </row>
    <row r="29" spans="1:12" s="33" customFormat="1" ht="21" customHeight="1" thickBot="1" x14ac:dyDescent="0.2">
      <c r="B29" s="76" t="s">
        <v>96</v>
      </c>
      <c r="C29" s="76"/>
      <c r="D29" s="76"/>
      <c r="E29" s="76"/>
      <c r="F29" s="76"/>
      <c r="G29" s="76"/>
      <c r="H29" s="76"/>
      <c r="I29" s="76"/>
      <c r="J29" s="76"/>
      <c r="K29" s="76"/>
      <c r="L29" s="76"/>
    </row>
    <row r="30" spans="1:12" ht="6" customHeight="1" thickBot="1" x14ac:dyDescent="0.25">
      <c r="B30" s="74"/>
    </row>
    <row r="31" spans="1:12" ht="21.75" customHeight="1" thickBot="1" x14ac:dyDescent="0.25">
      <c r="B31" s="898" t="s">
        <v>129</v>
      </c>
      <c r="C31" s="899"/>
      <c r="D31" s="899"/>
      <c r="E31" s="900"/>
      <c r="F31" s="77"/>
      <c r="G31" s="889" t="s">
        <v>320</v>
      </c>
      <c r="H31" s="890"/>
      <c r="I31" s="890"/>
      <c r="J31" s="78" t="s">
        <v>295</v>
      </c>
      <c r="K31" s="890" t="s">
        <v>293</v>
      </c>
      <c r="L31" s="931"/>
    </row>
    <row r="32" spans="1:12" ht="14.25" customHeight="1" x14ac:dyDescent="0.2">
      <c r="A32" s="893" t="s">
        <v>307</v>
      </c>
      <c r="B32" s="905"/>
      <c r="C32" s="906"/>
      <c r="D32" s="906"/>
      <c r="E32" s="907"/>
      <c r="F32" s="46"/>
      <c r="G32" s="917"/>
      <c r="H32" s="918"/>
      <c r="I32" s="918"/>
      <c r="J32" s="918"/>
      <c r="K32" s="918"/>
      <c r="L32" s="935"/>
    </row>
    <row r="33" spans="1:12" ht="16.5" customHeight="1" x14ac:dyDescent="0.2">
      <c r="A33" s="894"/>
      <c r="B33" s="886"/>
      <c r="C33" s="887"/>
      <c r="D33" s="887"/>
      <c r="E33" s="908"/>
      <c r="F33" s="46"/>
      <c r="G33" s="903"/>
      <c r="H33" s="904"/>
      <c r="I33" s="904"/>
      <c r="J33" s="904"/>
      <c r="K33" s="904"/>
      <c r="L33" s="933"/>
    </row>
    <row r="34" spans="1:12" x14ac:dyDescent="0.2">
      <c r="A34" s="894"/>
      <c r="B34" s="909" t="str">
        <f>IF(Recommendations!I43="","",Recommendations!I43)</f>
        <v/>
      </c>
      <c r="C34" s="910"/>
      <c r="D34" s="910"/>
      <c r="E34" s="911"/>
      <c r="F34" s="46"/>
      <c r="G34" s="903"/>
      <c r="H34" s="904"/>
      <c r="I34" s="904"/>
      <c r="J34" s="904"/>
      <c r="K34" s="904"/>
      <c r="L34" s="933"/>
    </row>
    <row r="35" spans="1:12" x14ac:dyDescent="0.2">
      <c r="A35" s="894"/>
      <c r="B35" s="909"/>
      <c r="C35" s="910"/>
      <c r="D35" s="910"/>
      <c r="E35" s="911"/>
      <c r="F35" s="46"/>
      <c r="G35" s="903"/>
      <c r="H35" s="904"/>
      <c r="I35" s="904"/>
      <c r="J35" s="904"/>
      <c r="K35" s="904"/>
      <c r="L35" s="933"/>
    </row>
    <row r="36" spans="1:12" x14ac:dyDescent="0.2">
      <c r="A36" s="894"/>
      <c r="B36" s="909" t="str">
        <f>+IF(Recommendations!I53="","",Recommendations!I53)</f>
        <v/>
      </c>
      <c r="C36" s="910"/>
      <c r="D36" s="910"/>
      <c r="E36" s="911"/>
      <c r="F36" s="46"/>
      <c r="G36" s="903"/>
      <c r="H36" s="904"/>
      <c r="I36" s="904"/>
      <c r="J36" s="904"/>
      <c r="K36" s="904"/>
      <c r="L36" s="933"/>
    </row>
    <row r="37" spans="1:12" x14ac:dyDescent="0.2">
      <c r="A37" s="894"/>
      <c r="B37" s="909"/>
      <c r="C37" s="910"/>
      <c r="D37" s="910"/>
      <c r="E37" s="911"/>
      <c r="F37" s="46"/>
      <c r="G37" s="903"/>
      <c r="H37" s="904"/>
      <c r="I37" s="904"/>
      <c r="J37" s="904"/>
      <c r="K37" s="904"/>
      <c r="L37" s="933"/>
    </row>
    <row r="38" spans="1:12" x14ac:dyDescent="0.2">
      <c r="A38" s="894"/>
      <c r="B38" s="909"/>
      <c r="C38" s="910"/>
      <c r="D38" s="910"/>
      <c r="E38" s="911"/>
      <c r="F38" s="46"/>
      <c r="G38" s="903"/>
      <c r="H38" s="904"/>
      <c r="I38" s="904"/>
      <c r="J38" s="904"/>
      <c r="K38" s="904"/>
      <c r="L38" s="933"/>
    </row>
    <row r="39" spans="1:12" x14ac:dyDescent="0.2">
      <c r="A39" s="894"/>
      <c r="B39" s="909"/>
      <c r="C39" s="910"/>
      <c r="D39" s="910"/>
      <c r="E39" s="911"/>
      <c r="F39" s="46"/>
      <c r="G39" s="903"/>
      <c r="H39" s="904"/>
      <c r="I39" s="904"/>
      <c r="J39" s="904"/>
      <c r="K39" s="904"/>
      <c r="L39" s="933"/>
    </row>
    <row r="40" spans="1:12" x14ac:dyDescent="0.2">
      <c r="A40" s="894"/>
      <c r="B40" s="909"/>
      <c r="C40" s="910"/>
      <c r="D40" s="910"/>
      <c r="E40" s="911"/>
      <c r="F40" s="46"/>
      <c r="G40" s="903"/>
      <c r="H40" s="904"/>
      <c r="I40" s="904"/>
      <c r="J40" s="904"/>
      <c r="K40" s="904"/>
      <c r="L40" s="933"/>
    </row>
    <row r="41" spans="1:12" x14ac:dyDescent="0.2">
      <c r="A41" s="894"/>
      <c r="B41" s="909"/>
      <c r="C41" s="910"/>
      <c r="D41" s="910"/>
      <c r="E41" s="911"/>
      <c r="F41" s="46"/>
      <c r="G41" s="903"/>
      <c r="H41" s="904"/>
      <c r="I41" s="904"/>
      <c r="J41" s="904"/>
      <c r="K41" s="904"/>
      <c r="L41" s="933"/>
    </row>
    <row r="42" spans="1:12" x14ac:dyDescent="0.2">
      <c r="A42" s="894"/>
      <c r="B42" s="909"/>
      <c r="C42" s="910"/>
      <c r="D42" s="910"/>
      <c r="E42" s="911"/>
      <c r="F42" s="46"/>
      <c r="G42" s="903"/>
      <c r="H42" s="904"/>
      <c r="I42" s="904"/>
      <c r="J42" s="904"/>
      <c r="K42" s="904"/>
      <c r="L42" s="933"/>
    </row>
    <row r="43" spans="1:12" ht="16" thickBot="1" x14ac:dyDescent="0.25">
      <c r="A43" s="895"/>
      <c r="B43" s="912"/>
      <c r="C43" s="913"/>
      <c r="D43" s="913"/>
      <c r="E43" s="914"/>
      <c r="F43" s="46"/>
      <c r="G43" s="919"/>
      <c r="H43" s="920"/>
      <c r="I43" s="920"/>
      <c r="J43" s="920"/>
      <c r="K43" s="920"/>
      <c r="L43" s="934"/>
    </row>
  </sheetData>
  <sheetProtection password="CFC9" sheet="1"/>
  <mergeCells count="67">
    <mergeCell ref="K42:L43"/>
    <mergeCell ref="K36:L37"/>
    <mergeCell ref="K38:L39"/>
    <mergeCell ref="K32:L33"/>
    <mergeCell ref="J40:J41"/>
    <mergeCell ref="K31:L31"/>
    <mergeCell ref="K24:L25"/>
    <mergeCell ref="K34:L35"/>
    <mergeCell ref="K40:L41"/>
    <mergeCell ref="J38:J39"/>
    <mergeCell ref="B34:E35"/>
    <mergeCell ref="G34:I35"/>
    <mergeCell ref="J34:J35"/>
    <mergeCell ref="B36:E37"/>
    <mergeCell ref="G36:I37"/>
    <mergeCell ref="J36:J37"/>
    <mergeCell ref="B2:L2"/>
    <mergeCell ref="C4:D4"/>
    <mergeCell ref="K14:L15"/>
    <mergeCell ref="K16:L17"/>
    <mergeCell ref="E3:I3"/>
    <mergeCell ref="J3:K3"/>
    <mergeCell ref="E4:I4"/>
    <mergeCell ref="J4:K4"/>
    <mergeCell ref="E6:I6"/>
    <mergeCell ref="C3:D3"/>
    <mergeCell ref="D5:J5"/>
    <mergeCell ref="B13:E13"/>
    <mergeCell ref="B10:L11"/>
    <mergeCell ref="K13:L13"/>
    <mergeCell ref="J42:J43"/>
    <mergeCell ref="G40:I41"/>
    <mergeCell ref="A14:A25"/>
    <mergeCell ref="J18:J19"/>
    <mergeCell ref="J16:J17"/>
    <mergeCell ref="J14:J15"/>
    <mergeCell ref="B16:E17"/>
    <mergeCell ref="G14:I15"/>
    <mergeCell ref="B38:E39"/>
    <mergeCell ref="J24:J25"/>
    <mergeCell ref="B14:E15"/>
    <mergeCell ref="J22:J23"/>
    <mergeCell ref="G16:I17"/>
    <mergeCell ref="B18:E19"/>
    <mergeCell ref="B22:E23"/>
    <mergeCell ref="B40:E41"/>
    <mergeCell ref="B20:E21"/>
    <mergeCell ref="J20:J21"/>
    <mergeCell ref="A32:A43"/>
    <mergeCell ref="G31:I31"/>
    <mergeCell ref="G20:I21"/>
    <mergeCell ref="G22:I23"/>
    <mergeCell ref="E27:I27"/>
    <mergeCell ref="B31:E31"/>
    <mergeCell ref="G24:I25"/>
    <mergeCell ref="G38:I39"/>
    <mergeCell ref="B32:E33"/>
    <mergeCell ref="B42:E43"/>
    <mergeCell ref="B24:E25"/>
    <mergeCell ref="G32:I33"/>
    <mergeCell ref="J32:J33"/>
    <mergeCell ref="G42:I43"/>
    <mergeCell ref="K18:L19"/>
    <mergeCell ref="G18:I19"/>
    <mergeCell ref="G13:I13"/>
    <mergeCell ref="K22:L23"/>
    <mergeCell ref="K20:L21"/>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Menu</vt:lpstr>
      <vt:lpstr>List of Indicators</vt:lpstr>
      <vt:lpstr>Data Entry</vt:lpstr>
      <vt:lpstr>Grant Detail</vt:lpstr>
      <vt:lpstr>Finance</vt:lpstr>
      <vt:lpstr>Management</vt:lpstr>
      <vt:lpstr>Programmatic</vt:lpstr>
      <vt:lpstr>Recommendations</vt:lpstr>
      <vt:lpstr>Actions</vt:lpstr>
      <vt:lpstr>Setup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Microsoft Office User</cp:lastModifiedBy>
  <cp:lastPrinted>2009-11-06T15:57:56Z</cp:lastPrinted>
  <dcterms:created xsi:type="dcterms:W3CDTF">2008-11-20T16:06:13Z</dcterms:created>
  <dcterms:modified xsi:type="dcterms:W3CDTF">2016-11-24T11:12:00Z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