
<file path=[Content_Types].xml><?xml version="1.0" encoding="utf-8"?>
<Types xmlns="http://schemas.openxmlformats.org/package/2006/content-types">
  <Default Extension="xml" ContentType="application/xml"/>
  <Default Extension="jpeg" ContentType="image/jpeg"/>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101"/>
  <workbookPr showInkAnnotation="0" codeName="ThisWorkbook"/>
  <mc:AlternateContent xmlns:mc="http://schemas.openxmlformats.org/markup-compatibility/2006">
    <mc:Choice Requires="x15">
      <x15ac:absPath xmlns:x15ac="http://schemas.microsoft.com/office/spreadsheetml/2010/11/ac" url="/Users/keziah/Documents/CCM/DASHBOARD/"/>
    </mc:Choice>
  </mc:AlternateContent>
  <bookViews>
    <workbookView xWindow="3340" yWindow="1080" windowWidth="22260" windowHeight="9900" tabRatio="721" activeTab="2"/>
  </bookViews>
  <sheets>
    <sheet name="Menu" sheetId="1" r:id="rId1"/>
    <sheet name="List of Indicators" sheetId="45" r:id="rId2"/>
    <sheet name="Data Entry" sheetId="29" r:id="rId3"/>
    <sheet name="Grant Detail" sheetId="27" r:id="rId4"/>
    <sheet name="Finance" sheetId="30" r:id="rId5"/>
    <sheet name="Management" sheetId="35" r:id="rId6"/>
    <sheet name="Programmatic" sheetId="37" r:id="rId7"/>
    <sheet name="Recommendations" sheetId="42" r:id="rId8"/>
    <sheet name="Actions" sheetId="39" r:id="rId9"/>
    <sheet name="Setup" sheetId="32" state="hidden" r:id="rId10"/>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Entry'!$B$25:$J$65</definedName>
    <definedName name="PrintDataM">'Data Entry'!$B$67:$H$111</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20" i="37" l="1"/>
  <c r="E20" i="37"/>
  <c r="G20" i="37"/>
  <c r="D47" i="29"/>
  <c r="C33" i="29"/>
  <c r="D33" i="29"/>
  <c r="E33" i="29"/>
  <c r="F33" i="29"/>
  <c r="G33" i="29"/>
  <c r="C47" i="29"/>
  <c r="B143" i="29"/>
  <c r="B22" i="45"/>
  <c r="F29" i="37"/>
  <c r="F28" i="37"/>
  <c r="F27" i="37"/>
  <c r="F26" i="37"/>
  <c r="F25" i="37"/>
  <c r="E29" i="37"/>
  <c r="E28" i="37"/>
  <c r="E27" i="37"/>
  <c r="G27" i="37"/>
  <c r="E26" i="37"/>
  <c r="G26" i="37"/>
  <c r="E25" i="37"/>
  <c r="F24" i="37"/>
  <c r="E24" i="37"/>
  <c r="F23" i="37"/>
  <c r="E23" i="37"/>
  <c r="F22" i="37"/>
  <c r="E22" i="37"/>
  <c r="F21" i="37"/>
  <c r="E21" i="37"/>
  <c r="R29" i="29"/>
  <c r="B2" i="45"/>
  <c r="B2" i="39"/>
  <c r="B2" i="42"/>
  <c r="B2" i="37"/>
  <c r="B2" i="35"/>
  <c r="K5" i="30"/>
  <c r="K4" i="30"/>
  <c r="L5" i="35"/>
  <c r="L4" i="35"/>
  <c r="Q5" i="37"/>
  <c r="Q4" i="37"/>
  <c r="M5" i="42"/>
  <c r="M4" i="42"/>
  <c r="L5" i="39"/>
  <c r="L4" i="39"/>
  <c r="C4" i="39"/>
  <c r="C3" i="39"/>
  <c r="B3" i="39"/>
  <c r="C4" i="42"/>
  <c r="C3" i="42"/>
  <c r="B3" i="42"/>
  <c r="C4" i="37"/>
  <c r="C3" i="37"/>
  <c r="B3" i="37"/>
  <c r="C4" i="35"/>
  <c r="C3" i="35"/>
  <c r="B3" i="35"/>
  <c r="C4" i="30"/>
  <c r="C3" i="30"/>
  <c r="B3" i="30"/>
  <c r="B2" i="30"/>
  <c r="I9" i="27"/>
  <c r="G9" i="27"/>
  <c r="G13" i="27"/>
  <c r="G11" i="27"/>
  <c r="D11" i="27"/>
  <c r="B12" i="27"/>
  <c r="I11" i="27"/>
  <c r="D10" i="27"/>
  <c r="B10" i="27"/>
  <c r="B9" i="27"/>
  <c r="B6" i="27"/>
  <c r="B3" i="27"/>
  <c r="B2" i="1"/>
  <c r="B4" i="1"/>
  <c r="E90" i="29"/>
  <c r="E89" i="29"/>
  <c r="C34" i="29"/>
  <c r="D34" i="29"/>
  <c r="E34" i="29"/>
  <c r="D11" i="42"/>
  <c r="J3" i="35"/>
  <c r="L3" i="35"/>
  <c r="B7" i="35"/>
  <c r="B15" i="35"/>
  <c r="I3" i="30"/>
  <c r="K3" i="30"/>
  <c r="B8" i="30"/>
  <c r="D33" i="42"/>
  <c r="D34" i="42"/>
  <c r="D35" i="42"/>
  <c r="D36" i="42"/>
  <c r="D37" i="42"/>
  <c r="D38" i="42"/>
  <c r="D39" i="42"/>
  <c r="D40" i="42"/>
  <c r="D41" i="42"/>
  <c r="D32" i="42"/>
  <c r="D31" i="42"/>
  <c r="D30" i="42"/>
  <c r="D29" i="42"/>
  <c r="E109" i="29"/>
  <c r="G109" i="29"/>
  <c r="I109" i="29"/>
  <c r="E108" i="29"/>
  <c r="G108" i="29"/>
  <c r="I108" i="29"/>
  <c r="E110" i="29"/>
  <c r="G110" i="29"/>
  <c r="I110" i="29"/>
  <c r="E111" i="29"/>
  <c r="G111" i="29"/>
  <c r="I111" i="29"/>
  <c r="K30" i="35"/>
  <c r="K31" i="35"/>
  <c r="K32" i="35"/>
  <c r="K33" i="35"/>
  <c r="L144" i="29"/>
  <c r="M144" i="29"/>
  <c r="N144" i="29"/>
  <c r="O144" i="29"/>
  <c r="P144" i="29"/>
  <c r="Q144" i="29"/>
  <c r="R144" i="29"/>
  <c r="S144" i="29"/>
  <c r="L145" i="29"/>
  <c r="M145" i="29"/>
  <c r="N145" i="29"/>
  <c r="O145" i="29"/>
  <c r="P145" i="29"/>
  <c r="Q145" i="29"/>
  <c r="R145" i="29"/>
  <c r="S145" i="29"/>
  <c r="L146" i="29"/>
  <c r="M146" i="29"/>
  <c r="N146" i="29"/>
  <c r="O146" i="29"/>
  <c r="P146" i="29"/>
  <c r="Q146" i="29"/>
  <c r="R146" i="29"/>
  <c r="S146" i="29"/>
  <c r="L147" i="29"/>
  <c r="M147" i="29"/>
  <c r="N147" i="29"/>
  <c r="O147" i="29"/>
  <c r="P147" i="29"/>
  <c r="Q147" i="29"/>
  <c r="R147" i="29"/>
  <c r="S147" i="29"/>
  <c r="L148" i="29"/>
  <c r="M148" i="29"/>
  <c r="N148" i="29"/>
  <c r="O148" i="29"/>
  <c r="P148" i="29"/>
  <c r="Q148" i="29"/>
  <c r="R148" i="29"/>
  <c r="S148" i="29"/>
  <c r="M143" i="29"/>
  <c r="N143" i="29"/>
  <c r="O143" i="29"/>
  <c r="P143" i="29"/>
  <c r="Q143" i="29"/>
  <c r="R143" i="29"/>
  <c r="S143" i="29"/>
  <c r="F145" i="29"/>
  <c r="F147" i="29"/>
  <c r="F143" i="29"/>
  <c r="E145" i="29"/>
  <c r="E147" i="29"/>
  <c r="E143" i="29"/>
  <c r="B145" i="29"/>
  <c r="B147" i="29"/>
  <c r="B32" i="29"/>
  <c r="D38" i="29"/>
  <c r="C38" i="29"/>
  <c r="K33" i="29"/>
  <c r="K35" i="29"/>
  <c r="L33" i="29"/>
  <c r="L35" i="29"/>
  <c r="M33" i="29"/>
  <c r="M35" i="29"/>
  <c r="N33" i="29"/>
  <c r="N35" i="29"/>
  <c r="H34" i="29"/>
  <c r="I34" i="29"/>
  <c r="J34" i="29"/>
  <c r="K34" i="29"/>
  <c r="L34" i="29"/>
  <c r="M34" i="29"/>
  <c r="N34" i="29"/>
  <c r="B31" i="29"/>
  <c r="E51" i="29"/>
  <c r="H29" i="30"/>
  <c r="H28" i="30"/>
  <c r="H27" i="30"/>
  <c r="D24" i="42"/>
  <c r="D23" i="42"/>
  <c r="D22" i="42"/>
  <c r="D21" i="42"/>
  <c r="D20" i="42"/>
  <c r="D19" i="42"/>
  <c r="D14" i="42"/>
  <c r="D13" i="42"/>
  <c r="D12" i="42"/>
  <c r="B25" i="45"/>
  <c r="B23" i="45"/>
  <c r="B21" i="45"/>
  <c r="B20" i="45"/>
  <c r="B19" i="45"/>
  <c r="B11" i="45"/>
  <c r="B10" i="45"/>
  <c r="B9" i="45"/>
  <c r="B8" i="45"/>
  <c r="B4" i="37"/>
  <c r="B4" i="35"/>
  <c r="B4" i="30"/>
  <c r="G73" i="29"/>
  <c r="G12" i="27"/>
  <c r="H4" i="1"/>
  <c r="K148" i="29"/>
  <c r="K147" i="29"/>
  <c r="K146" i="29"/>
  <c r="K145" i="29"/>
  <c r="K144" i="29"/>
  <c r="K143" i="29"/>
  <c r="C98" i="29"/>
  <c r="D98" i="29"/>
  <c r="E98" i="29"/>
  <c r="F98" i="29"/>
  <c r="G98" i="29"/>
  <c r="H98" i="29"/>
  <c r="I98" i="29"/>
  <c r="J98" i="29"/>
  <c r="K98" i="29"/>
  <c r="L98" i="29"/>
  <c r="M98" i="29"/>
  <c r="N98" i="29"/>
  <c r="G72" i="29"/>
  <c r="K27" i="30"/>
  <c r="J27" i="30"/>
  <c r="K28" i="30"/>
  <c r="J28" i="30"/>
  <c r="K29" i="30"/>
  <c r="J29" i="30"/>
  <c r="E53" i="29"/>
  <c r="E52" i="29"/>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C100" i="29"/>
  <c r="D100" i="29"/>
  <c r="E100" i="29"/>
  <c r="F100" i="29"/>
  <c r="G100" i="29"/>
  <c r="H100" i="29"/>
  <c r="I100" i="29"/>
  <c r="J100" i="29"/>
  <c r="K100" i="29"/>
  <c r="L100" i="29"/>
  <c r="M100" i="29"/>
  <c r="N100" i="29"/>
  <c r="C99" i="29"/>
  <c r="D99" i="29"/>
  <c r="E99" i="29"/>
  <c r="F99" i="29"/>
  <c r="G99" i="29"/>
  <c r="H99" i="29"/>
  <c r="I99" i="29"/>
  <c r="J99" i="29"/>
  <c r="K99" i="29"/>
  <c r="L99" i="29"/>
  <c r="M99" i="29"/>
  <c r="N99" i="29"/>
  <c r="E79" i="29"/>
  <c r="D5" i="35"/>
  <c r="E4" i="35"/>
  <c r="K5" i="35"/>
  <c r="J4" i="35"/>
  <c r="D5" i="37"/>
  <c r="P5" i="37"/>
  <c r="P4" i="37"/>
  <c r="O3" i="37"/>
  <c r="J5" i="30"/>
  <c r="D5" i="30"/>
  <c r="I4" i="30"/>
  <c r="E4" i="30"/>
  <c r="L8" i="37"/>
  <c r="F8" i="37"/>
  <c r="B8" i="37"/>
  <c r="L143" i="29"/>
  <c r="J148" i="29"/>
  <c r="J147" i="29"/>
  <c r="J146" i="29"/>
  <c r="J145" i="29"/>
  <c r="J144" i="29"/>
  <c r="J143" i="29"/>
  <c r="I148" i="29"/>
  <c r="I147" i="29"/>
  <c r="I146" i="29"/>
  <c r="I145" i="29"/>
  <c r="I144" i="29"/>
  <c r="I143" i="29"/>
  <c r="H148" i="29"/>
  <c r="H147" i="29"/>
  <c r="H146" i="29"/>
  <c r="H145" i="29"/>
  <c r="H144" i="29"/>
  <c r="H143" i="29"/>
  <c r="B26" i="37"/>
  <c r="B25" i="37"/>
  <c r="B24" i="37"/>
  <c r="B23" i="37"/>
  <c r="S142" i="29"/>
  <c r="R142" i="29"/>
  <c r="Q142" i="29"/>
  <c r="P142" i="29"/>
  <c r="O142" i="29"/>
  <c r="B22" i="37"/>
  <c r="B21" i="37"/>
  <c r="B20" i="37"/>
  <c r="E55" i="29"/>
  <c r="B27" i="37"/>
  <c r="N142" i="29"/>
  <c r="M142" i="29"/>
  <c r="L142" i="29"/>
  <c r="K142" i="29"/>
  <c r="J142" i="29"/>
  <c r="I142" i="29"/>
  <c r="H142" i="29"/>
  <c r="B36" i="39"/>
  <c r="B34" i="39"/>
  <c r="E54" i="29"/>
  <c r="B34" i="35"/>
  <c r="R50" i="29"/>
  <c r="Z24" i="37"/>
  <c r="AA24" i="37"/>
  <c r="Z23" i="37"/>
  <c r="AA23" i="37"/>
  <c r="Z22" i="37"/>
  <c r="AA22" i="37"/>
  <c r="AF21" i="37"/>
  <c r="AE21" i="37"/>
  <c r="AD21" i="37"/>
  <c r="AC21" i="37"/>
  <c r="AB21" i="37"/>
  <c r="E20" i="42"/>
  <c r="F20" i="42"/>
  <c r="T21" i="37"/>
  <c r="U21" i="37"/>
  <c r="V21" i="37"/>
  <c r="W21" i="37"/>
  <c r="X21" i="37"/>
  <c r="T22" i="37"/>
  <c r="U22" i="37"/>
  <c r="V22" i="37"/>
  <c r="W22" i="37"/>
  <c r="X22" i="37"/>
  <c r="T23" i="37"/>
  <c r="U23" i="37"/>
  <c r="V23" i="37"/>
  <c r="W23" i="37"/>
  <c r="X23" i="37"/>
  <c r="T24" i="37"/>
  <c r="U24" i="37"/>
  <c r="V24" i="37"/>
  <c r="W24" i="37"/>
  <c r="X24" i="37"/>
  <c r="T25" i="37"/>
  <c r="U25" i="37"/>
  <c r="V25" i="37"/>
  <c r="W25" i="37"/>
  <c r="X25" i="37"/>
  <c r="U28" i="37"/>
  <c r="T26" i="37"/>
  <c r="U26" i="37"/>
  <c r="V26" i="37"/>
  <c r="W26" i="37"/>
  <c r="X26" i="37"/>
  <c r="T29" i="37"/>
  <c r="T27" i="37"/>
  <c r="U27" i="37"/>
  <c r="V27" i="37"/>
  <c r="W27" i="37"/>
  <c r="X27" i="37"/>
  <c r="B28" i="37"/>
  <c r="T28" i="37"/>
  <c r="V28" i="37"/>
  <c r="X28" i="37"/>
  <c r="B29"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G35" i="29"/>
  <c r="H33" i="29"/>
  <c r="H35" i="29"/>
  <c r="I33" i="29"/>
  <c r="R35" i="29"/>
  <c r="J33" i="29"/>
  <c r="R49" i="29"/>
  <c r="H7" i="35"/>
  <c r="C35" i="29"/>
  <c r="H15" i="35"/>
  <c r="K109" i="29"/>
  <c r="L31" i="35"/>
  <c r="J31" i="35"/>
  <c r="K110" i="29"/>
  <c r="L32" i="35"/>
  <c r="J32" i="35"/>
  <c r="K111" i="29"/>
  <c r="L33" i="35"/>
  <c r="J33" i="35"/>
  <c r="K108" i="29"/>
  <c r="L30" i="35"/>
  <c r="J30" i="35"/>
  <c r="B3" i="32"/>
  <c r="H22" i="30"/>
  <c r="H8" i="30"/>
  <c r="Q51" i="29"/>
  <c r="AD22" i="37"/>
  <c r="AB22" i="37"/>
  <c r="AF22" i="37"/>
  <c r="AC22" i="37"/>
  <c r="AE22" i="37"/>
  <c r="AD24" i="37"/>
  <c r="AB24" i="37"/>
  <c r="AE24" i="37"/>
  <c r="AF24" i="37"/>
  <c r="AC24" i="37"/>
  <c r="AE23" i="37"/>
  <c r="AF23" i="37"/>
  <c r="AC23" i="37"/>
  <c r="AD23" i="37"/>
  <c r="AB23" i="37"/>
  <c r="H26" i="35"/>
  <c r="B22" i="30"/>
  <c r="R34" i="29"/>
  <c r="I35" i="29"/>
  <c r="G25" i="37"/>
  <c r="D35" i="29"/>
  <c r="F35" i="29"/>
  <c r="R30" i="29"/>
  <c r="R31" i="29"/>
  <c r="F47" i="29"/>
  <c r="F34" i="29"/>
  <c r="E35" i="29"/>
  <c r="R32" i="29"/>
  <c r="G22" i="37"/>
  <c r="J35" i="29"/>
  <c r="O31" i="29"/>
  <c r="R33" i="29"/>
  <c r="G21" i="37"/>
  <c r="G23" i="37"/>
  <c r="G24" i="37"/>
</calcChain>
</file>

<file path=xl/comments1.xml><?xml version="1.0" encoding="utf-8"?>
<comments xmlns="http://schemas.openxmlformats.org/spreadsheetml/2006/main">
  <authors>
    <author>mgleixner</author>
    <author>molszak</author>
  </authors>
  <commentList>
    <comment ref="B30" authorId="0">
      <text>
        <r>
          <rPr>
            <sz val="8"/>
            <color indexed="81"/>
            <rFont val="Tahoma"/>
            <family val="2"/>
          </rPr>
          <t>To define your periods (eg. P1, P2, P3 etc or P9, P10, P11 etc) you need to unprotect the cells.</t>
        </r>
      </text>
    </comment>
    <comment ref="B72" authorId="1">
      <text>
        <r>
          <rPr>
            <b/>
            <sz val="8"/>
            <color indexed="81"/>
            <rFont val="Tahoma"/>
            <family val="2"/>
          </rPr>
          <t xml:space="preserve">If data are not available, do not enter zeros; rather, leave the cells in the table blank. </t>
        </r>
      </text>
    </comment>
    <comment ref="B73" authorId="1">
      <text>
        <r>
          <rPr>
            <b/>
            <sz val="8"/>
            <color indexed="81"/>
            <rFont val="Tahoma"/>
            <family val="2"/>
          </rPr>
          <t>If data are not available, do not enter zeros; rather, leave the cells in this table blank.</t>
        </r>
      </text>
    </comment>
    <comment ref="B79" authorId="0">
      <text>
        <r>
          <rPr>
            <sz val="8"/>
            <color indexed="81"/>
            <rFont val="Tahoma"/>
            <family val="2"/>
          </rPr>
          <t xml:space="preserve">If data are not available, do not enter zeros; rather, leave the cells in this table blank. </t>
        </r>
      </text>
    </comment>
    <comment ref="B94" authorId="0">
      <text>
        <r>
          <rPr>
            <sz val="8"/>
            <color indexed="81"/>
            <rFont val="Tahoma"/>
            <family val="2"/>
          </rPr>
          <t>To define your periods (eg. P1, P2, P3 etc or P9, P10, P11 etc) you need to unprotect the cells.</t>
        </r>
      </text>
    </comment>
  </commentList>
</comments>
</file>

<file path=xl/sharedStrings.xml><?xml version="1.0" encoding="utf-8"?>
<sst xmlns="http://schemas.openxmlformats.org/spreadsheetml/2006/main" count="660" uniqueCount="494">
  <si>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</si>
  <si>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</si>
  <si>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</si>
  <si>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</si>
  <si>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</si>
  <si>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</si>
  <si>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</si>
  <si>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</si>
  <si>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</si>
  <si>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</si>
  <si>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</si>
  <si>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</si>
  <si>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</si>
  <si>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</si>
  <si>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</si>
  <si>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</si>
  <si>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</si>
  <si>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</si>
  <si>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</si>
  <si>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</si>
  <si>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</si>
  <si>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</si>
  <si>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</si>
  <si>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</si>
  <si>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</si>
  <si>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</si>
  <si>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</si>
  <si>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</si>
  <si>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</si>
  <si>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</si>
  <si>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</si>
  <si>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</si>
  <si>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</si>
  <si>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</si>
  <si>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</si>
  <si>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</si>
  <si>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</si>
  <si>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</si>
  <si>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</si>
  <si>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</si>
  <si>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</si>
  <si>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</si>
  <si>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</si>
  <si>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</si>
  <si>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</si>
  <si>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</si>
  <si>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</si>
  <si>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</si>
  <si>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</si>
  <si>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</si>
  <si>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</si>
  <si>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</si>
  <si>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</si>
  <si>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</si>
  <si>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</si>
  <si>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</si>
  <si>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</si>
  <si>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</si>
  <si>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</si>
  <si>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</si>
  <si>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</si>
  <si>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</si>
  <si>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</si>
  <si>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</si>
  <si>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</si>
  <si>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</si>
  <si>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</si>
  <si>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</si>
  <si>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</si>
  <si>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</si>
  <si>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</si>
  <si>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</si>
  <si>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</si>
  <si>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</si>
  <si>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</si>
  <si>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</si>
  <si>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</si>
  <si>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</si>
  <si>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</si>
  <si>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</si>
  <si>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</si>
  <si>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</si>
  <si>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</si>
  <si>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</si>
  <si>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</si>
  <si>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</si>
  <si>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</si>
  <si>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</si>
  <si>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</si>
  <si>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</si>
  <si>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</si>
  <si>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</si>
  <si>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</si>
  <si>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</si>
  <si>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</si>
  <si>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</si>
  <si>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</si>
  <si>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</si>
  <si>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</si>
  <si>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</si>
  <si>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</si>
  <si>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</si>
  <si>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</si>
  <si>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</si>
  <si>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</si>
  <si>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</si>
  <si>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</si>
  <si>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</si>
  <si>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</si>
  <si>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</si>
  <si>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</si>
  <si>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</si>
  <si>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</si>
  <si>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</si>
  <si>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</si>
  <si>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</si>
  <si>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</si>
  <si>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</si>
  <si>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</si>
  <si>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</si>
  <si>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</si>
  <si>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</si>
  <si>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</si>
  <si>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</si>
  <si>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</si>
  <si>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</si>
  <si>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</si>
  <si>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</si>
  <si>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</si>
  <si>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</si>
  <si>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</si>
  <si>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</si>
  <si>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</si>
  <si>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</si>
  <si>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</si>
  <si>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</si>
  <si>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</si>
  <si>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</si>
  <si>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</si>
  <si>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</si>
  <si>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</si>
  <si>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</si>
  <si>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</si>
  <si>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</si>
  <si>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</si>
  <si>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</si>
  <si>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</si>
  <si>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</si>
  <si>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</si>
  <si>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</si>
  <si>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</si>
  <si>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</si>
  <si>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</si>
  <si>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</si>
  <si>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</si>
  <si>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</si>
  <si>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</si>
  <si>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</si>
  <si>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</si>
  <si>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</si>
  <si>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</si>
  <si>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</si>
  <si>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</si>
  <si>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</si>
  <si>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</si>
  <si>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</si>
  <si>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</si>
  <si>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</si>
  <si>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</si>
  <si>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</si>
  <si>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</si>
  <si>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</si>
  <si>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</si>
  <si>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</si>
  <si>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</si>
  <si>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</si>
  <si>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</si>
  <si>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</si>
  <si>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</si>
  <si>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</si>
  <si>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</si>
  <si>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</si>
  <si>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</si>
  <si>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</si>
  <si>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</si>
  <si>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</si>
  <si>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</si>
  <si>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</si>
  <si>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</si>
  <si>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</si>
  <si>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</si>
  <si>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</si>
  <si>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</si>
  <si>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</si>
  <si>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</si>
  <si>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</si>
  <si>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</si>
  <si>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</si>
  <si>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</si>
  <si>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</si>
  <si>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</si>
  <si>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</si>
  <si>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</si>
  <si>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</si>
  <si>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</si>
  <si>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</si>
  <si>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</si>
  <si>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</si>
  <si>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</si>
  <si>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</si>
  <si>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</si>
  <si>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</si>
  <si>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</si>
  <si>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</si>
  <si>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</si>
  <si>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</si>
  <si>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</si>
  <si>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</si>
  <si>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</si>
  <si>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</si>
  <si>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</si>
  <si>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</si>
  <si>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</si>
  <si>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</si>
  <si>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</si>
  <si>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</si>
  <si>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</si>
  <si>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</si>
  <si>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</si>
  <si>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</si>
  <si>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</si>
  <si>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</si>
  <si>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</si>
  <si>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</si>
  <si>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</si>
  <si>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</si>
  <si>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</si>
  <si>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</si>
  <si>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</si>
  <si>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</si>
  <si>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</si>
  <si>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</si>
  <si>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</si>
  <si>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</si>
  <si>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</si>
  <si>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</si>
  <si>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</si>
  <si>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</si>
  <si>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</si>
  <si>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</si>
  <si>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</si>
  <si>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</si>
  <si>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</si>
  <si>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</si>
  <si>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</si>
  <si>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</si>
  <si>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</si>
  <si>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</si>
  <si>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</si>
  <si>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</si>
  <si>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</si>
  <si>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</si>
  <si>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</si>
  <si>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</si>
  <si>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</si>
  <si>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</si>
  <si>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</si>
  <si>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</si>
  <si>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</si>
  <si>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</si>
  <si>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</si>
  <si>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</si>
  <si>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</si>
  <si>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</si>
  <si>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</si>
  <si>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</si>
  <si>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</si>
  <si>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</si>
  <si>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</si>
  <si>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</si>
  <si>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</si>
  <si>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</si>
  <si>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</si>
  <si>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</si>
  <si>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</si>
  <si>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</si>
  <si>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</si>
  <si>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</si>
  <si>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</si>
  <si>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</si>
  <si>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</si>
  <si>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</si>
  <si>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</si>
  <si>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</si>
  <si>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</si>
  <si>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</si>
  <si>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</si>
  <si>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</si>
  <si>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</si>
  <si>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</si>
  <si>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</si>
  <si>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</si>
  <si>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</si>
  <si>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</si>
  <si>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</si>
  <si>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</si>
  <si>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</si>
  <si>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</si>
  <si>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</si>
  <si>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</si>
  <si>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</si>
  <si>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</si>
  <si>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</si>
  <si>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</si>
  <si>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</si>
  <si>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</si>
  <si>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</si>
  <si>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</si>
  <si>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</si>
  <si>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</si>
  <si>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</si>
  <si>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</si>
  <si>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</si>
  <si>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</si>
  <si>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</si>
  <si>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</si>
  <si>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</si>
  <si>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</si>
  <si>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</si>
  <si>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</si>
  <si>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</si>
  <si>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</si>
  <si>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</si>
  <si>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</si>
  <si>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</si>
  <si>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</si>
  <si>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</si>
  <si>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</si>
  <si>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</si>
  <si>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</si>
  <si>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</si>
  <si>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</si>
  <si>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</si>
  <si>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</si>
  <si>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</si>
  <si>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</si>
  <si>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</si>
  <si>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</si>
  <si>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</si>
  <si>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</si>
  <si>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</si>
  <si>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</si>
  <si>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</si>
  <si>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</si>
  <si>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</si>
  <si>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</si>
  <si>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</si>
  <si>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</si>
  <si>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</si>
  <si>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</si>
  <si>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</si>
  <si>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</si>
  <si>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</si>
  <si>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</si>
  <si>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</si>
  <si>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</si>
  <si>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</si>
  <si>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(1)
Number of tablets per patient per day
(Review country treatment guidelines)</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</si>
  <si>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</si>
  <si>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</si>
  <si>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</si>
  <si>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</si>
  <si>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</si>
  <si>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</si>
  <si>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</si>
  <si>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</si>
  <si>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</si>
  <si>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</si>
  <si>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</si>
  <si>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</si>
  <si>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</si>
  <si>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</si>
  <si>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</si>
  <si>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</si>
  <si>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</si>
  <si>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</si>
  <si>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</si>
  <si>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</si>
  <si>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</si>
  <si>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</si>
  <si>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</si>
  <si>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</si>
  <si>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</si>
  <si>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</si>
  <si>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</si>
  <si>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</si>
  <si>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</si>
  <si>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</si>
  <si>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</si>
  <si>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</si>
  <si>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</si>
  <si>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</si>
  <si>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Conditions precedent (CPs)</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</si>
  <si>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</si>
  <si>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</si>
  <si>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</si>
  <si>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</si>
  <si>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</si>
  <si>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</si>
  <si>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</si>
  <si>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</si>
  <si>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</si>
  <si>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</si>
  <si>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</si>
  <si>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Pr1. Proportion of estimated malaria cases (presumed and confirmed) that received first line anti-malarial treatment at health facilities</t>
  </si>
  <si>
    <t>Pr2. %  Proportion of pregnant women attending antenatal clinics who received three or more doses of intermittent preventive treatment (IPTp) for malaria</t>
  </si>
  <si>
    <t>Pr3. Number of long-lasting insecticidal nets distributed to at-risk populations through mass campaigns</t>
  </si>
  <si>
    <t>Pr4. Proportion of population at risk potentially covered by long lasting insecticidal nets distributed</t>
  </si>
  <si>
    <t>Pr5. Proportion of suspected malaria cases that receive a parasitological test at health facilities</t>
  </si>
  <si>
    <t>Pr6.  Proportion of targeted risk groups (pupils, pregnant women  and children under five years) receiving long-lasting insecticidal-nets through routine distribution</t>
  </si>
  <si>
    <t>Pr7. Number of children under five years which received first-line antimalrial treatment according to national policy(ACTs) at the community level</t>
  </si>
  <si>
    <t>Pr8. Proportion of confirmed malaria cases that received first-line antimalarial treatment according to national policy at health facilities</t>
  </si>
  <si>
    <t>No</t>
  </si>
  <si>
    <t>Apr-June 2015</t>
  </si>
  <si>
    <t>Oct-Dec 2015</t>
  </si>
  <si>
    <t>Jan-Mar2015</t>
  </si>
  <si>
    <t>July-Sep 2015</t>
  </si>
  <si>
    <t>Jan-Mar 2016</t>
  </si>
  <si>
    <t>Apr-Jun 2016</t>
  </si>
  <si>
    <t>July-Sep 2016</t>
  </si>
  <si>
    <t>Oct-Dec 2016</t>
  </si>
  <si>
    <t>Jan-Mar 2017</t>
  </si>
  <si>
    <t>Apr-June 2017</t>
  </si>
  <si>
    <t>July-Sept 2017</t>
  </si>
  <si>
    <t>Oct-Dec 2017</t>
  </si>
  <si>
    <t>MOH</t>
  </si>
  <si>
    <t>Mark Saafield</t>
  </si>
  <si>
    <t>Number of malaria positive cases treated over number of cases tested positive for malaria</t>
  </si>
  <si>
    <t xml:space="preserve">Numerator:  number of suspected malaria cases given ACTs as treatment according to national guidelines                                                                                                                                 Denominator: Number of suspected malaria cases for all the health facilities, whilst the </t>
  </si>
  <si>
    <t>This indicator seeks to measure the number of projected malaria cases that will receive ACTs correctly. This captures all malaria cases in all health acilities in the country(both public and private). Diagnosis of uncomplicated or severe malaria can be (1) laboratory-confirmed in countries that routinely perform laboratory testing for malaria or (2) presumptive, based on clinical symptoms (such as in most high-endemicity countries in sub-Saharan Africa, where all cases of acute fever without an obvious nonmalarial
cause are considered malaria).</t>
  </si>
  <si>
    <t>MOH (HMIS (DHIMS))</t>
  </si>
  <si>
    <t>Numerator: Number of pregnant women who received at least three doses of intermittent preventive treatment with a recommended antimalarial drug during antenatal care visits
Denominator: Total number of pregnant women at first antenatal care visits (registrants)</t>
  </si>
  <si>
    <t xml:space="preserve">This measures the number of pregnant women who took at least three doses of SP during ANC visit according to national policy. Denominator: antenatal registrants per year. </t>
  </si>
  <si>
    <t xml:space="preserve">Number of mosquito nets distributed to population (including pupils, pregnant women  and children under five years), through mass campaign with the mosquito nets being limited to long-lasting insecticidal nets </t>
  </si>
  <si>
    <t>Numerator: Population covered by available LLINs through mass campaign
Denominator: Total population of regions covered</t>
  </si>
  <si>
    <t>This seeks to measure the coverage of LLINs distributed through mass campaign</t>
  </si>
  <si>
    <t>MOH (Mass campaign report)</t>
  </si>
  <si>
    <t>Definition  (from M&amp;E Plan, May 2015)</t>
  </si>
  <si>
    <t>Numerator: number of malaria cases confirmed  by RDTs or microscopy (total tested).                     Denominator: number of suspected cases of malaria</t>
  </si>
  <si>
    <t xml:space="preserve">This information is collected through the health facility routine data collection system and laboratory records. High coverage is a key factor for interpreting the commitment in confirming (testing) all suspected malaria cases before treatment is given. </t>
  </si>
  <si>
    <t>Number of risk groups (pupils, pregnant women  and children under five years) who received LLINs over expected number of risk groups to be given LLINs. The denominator for risk groups are as follows: pregnant women = number of registrants, Children under five=children due for measeles 2, pupils= All people in class 2 and 6.</t>
  </si>
  <si>
    <t>This seeks to measure the coverage of LLINs distributed through the ANC, Epi and Primary School</t>
  </si>
  <si>
    <t xml:space="preserve">Number of uncomplicated malaria cases among under 5 year children treated with ACT by community based health workers (CBA) </t>
  </si>
  <si>
    <t>This measure the number of uder five children treated in the communities through the iCCM intervention. iCCM will be limited to communities with out access to Health facilities.</t>
  </si>
  <si>
    <t>This measures treatment of positive malaria cases according to national policy</t>
  </si>
  <si>
    <t>GHA-MOH-M</t>
  </si>
  <si>
    <t>Vector control</t>
  </si>
  <si>
    <t>Case management</t>
  </si>
  <si>
    <t>Specific prevention interventions (SPI)</t>
  </si>
  <si>
    <t>HSS - Health information systems and M&amp;E</t>
  </si>
  <si>
    <t>HSS - Financial management</t>
  </si>
  <si>
    <t>Program management</t>
  </si>
  <si>
    <t>Grant Objective(Module)</t>
  </si>
  <si>
    <t xml:space="preserve">This does not include funds disbursed to PPM and Co-payment unit. </t>
  </si>
  <si>
    <t>Grant was signed late and disbursement was late</t>
  </si>
  <si>
    <t>Whajib and Joel</t>
  </si>
  <si>
    <t>The programme is no longer reporting on this indicator.</t>
  </si>
  <si>
    <t>na</t>
  </si>
  <si>
    <t xml:space="preserve">1,762,766 (97%) of expected LLINs to be distributed) LLINs distributed in the Northern region during the semester under review. </t>
  </si>
  <si>
    <t>Out of 488,807 ANC registrants, 291,498 (60%) received IPTp1, 240,870 (49.3%) IPTp2 and 174,219 (36%) IPTp3. This performance is mainly due to shortage of SP during the period under review</t>
  </si>
  <si>
    <t>2,634,268 (53.4% ) out of 4,929,983 suspected malaria cases were treated with ACTs during the semester under review.  The reduction in use of ACTs is due to the increase in parasitological diagnosis of suspected malaria cases, thus increase in rational use of ACTs</t>
  </si>
  <si>
    <t>HSS - Procurement supply chain management (PSCM)</t>
  </si>
  <si>
    <t>July</t>
  </si>
  <si>
    <t>Sept</t>
  </si>
  <si>
    <t xml:space="preserve">A total population of 5,060,848 was covered through mass campaign during the quarter under review. Thus the total cummulative coverage is 25,759,492= 4,304,564 (2014 VR+ER coverage depreciated by 20%) +13,888,670 (2015 BAR+WR+CR+ASH+UE coverage depreciated by 8%) + 3,172,979 (2016 NR)+810,069 (Upper West, 2016)+4,242,890 (GAR, 2016)+7,889 (Pakro,2016). </t>
  </si>
  <si>
    <t xml:space="preserve">All 3,303,744 tested positive cases reported at the end of the period under review were treated with ACTs. </t>
  </si>
  <si>
    <t xml:space="preserve">During the quarter under review, 1,147,456 LLINs were distributed to pregnant women, children under five (211,099) via health facility and class 2 and 6 pupils (936357) via school distribution. </t>
  </si>
  <si>
    <t>1,503,406 (56% ) out of 2,669,296 suspected malaria cases were treated with ACTs during the quarter under review.  The reduction in use of ACTs is due to the increase in parasitological diagnosis of suspected malaria cases, thus increase in rational use of ACT s</t>
  </si>
  <si>
    <t>Out of 220,012 ANC registrants, 165,411 (75%) received IPTp1, 165,411 (59%) IPTp2 and 88657 (40%) IPTp3. IPTp3 coverage was 36% for January-June against 40% in third quarter only. Improvement in third quarter was due to distribution of SP within the quarter. Further improvement is expected by the end of the year.</t>
  </si>
  <si>
    <t>Total LLINs distributed during the period under review was 2,440,710. 464,285 LLINs was distributed in Upper West and 1,971,922 in Greater Accra as part of mass campaign. 4,503 was distributed in Pakro in Eastern Region as part of LLINs durability study</t>
  </si>
  <si>
    <t xml:space="preserve">2,108,716 (79%) out of  2,669,296 suspected malaria cases were tested within the quarter under review. This achievement is due to ongoing promotion of testing before treatment and adequate supply of RDTs in the country. </t>
  </si>
  <si>
    <t>Accelerating access to Prevention, treatment and home based care for malaria and increasing the access to affordable ACTs in the private Sector</t>
  </si>
  <si>
    <t xml:space="preserve">Performance assessment was conducted within the 3rd quarter to evaluate the activities of the 61 NGOs enagage for renewable contract term ending June, 2016. After assessment 33 NGO have been retained with activities commencing in October 2016 </t>
  </si>
  <si>
    <t>Reports not due  during the current quarter because they have just been reengaged</t>
  </si>
  <si>
    <t>3 Data Managers, Epidemiologist, Lab- focal person and Case Management focal person have been recruited.</t>
  </si>
  <si>
    <t>3 out of 6 Special conditions fulfiled. 2 are in progress ( the CP related to the supply chain and the M&amp;E ).  The one on the counterpart financing has not been met but it is not due yet.There are no CPs in current grant</t>
  </si>
  <si>
    <t>Some of the VPP procurements  was front loaded thet why expenditure exceeds budget</t>
  </si>
  <si>
    <t>ACTS and Injection Artesunate has not been delivered and therefore not paid</t>
  </si>
  <si>
    <t>This variance is for SMC  round 3&amp;4 that has been postponed, PR has not had any positive feedback on the drugs os it may not come on</t>
  </si>
  <si>
    <t>The  difference is for RDQA and other research items that has been delayedto the last quarter</t>
  </si>
  <si>
    <t>Part of the 2017 allocation was frontloaded and added  to the current budget to be given to the regions for financial monitoring to improve financial adherence</t>
  </si>
  <si>
    <t>These are PSM cost associated with the ACTs and Injection Aresunate yet to be delivered, therefore the variance</t>
  </si>
  <si>
    <t>the quarter was used for reviewing the contracts of NGOs and renewing contracts so  disbursement delayed accounting for the difference</t>
  </si>
  <si>
    <t>Expenditure also includes  an amount $4,487,155 from VPP</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</si>
</sst>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_);_(* \(#,##0.00\);_(* &quot;-&quot;??_);_(@_)"/>
    <numFmt numFmtId="165" formatCode="&quot;Q&quot;#,##0_);[Red]\(&quot;Q&quot;#,##0\)"/>
    <numFmt numFmtId="166" formatCode="_(* #,##0_);_(* \(#,##0\);_(* &quot;-&quot;??_);_(@_)"/>
    <numFmt numFmtId="167" formatCode=";;;"/>
    <numFmt numFmtId="168" formatCode="0.0"/>
    <numFmt numFmtId="169" formatCode=";;;&quot;Financial Variance in %&quot;"/>
    <numFmt numFmtId="170" formatCode="_([$€]* #,##0.00_);_([$€]* \(#,##0.00\);_([$€]* &quot;-&quot;??_);_(@_)"/>
    <numFmt numFmtId="171" formatCode="[$$-409]#,##0"/>
    <numFmt numFmtId="172" formatCode="[$-409]d/mmm/yyyy;@"/>
    <numFmt numFmtId="173" formatCode="[$$-409]#,##0_);\([$$-409]#,##0\)"/>
  </numFmts>
  <fonts count="136" x14ac:knownFonts="1">
    <font>
      <sz val="11"/>
      <color theme="1"/>
      <name val="Calibri"/>
      <family val="2"/>
      <scheme val="minor"/>
    </font>
    <font>
      <sz val="11"/>
      <color indexed="8"/>
      <name val="Calibri"/>
      <family val="2"/>
    </font>
    <font>
      <sz val="10"/>
      <name val="Arial"/>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font>
    <font>
      <b/>
      <sz val="14"/>
      <color indexed="52"/>
      <name val="Calibri"/>
      <family val="2"/>
    </font>
    <font>
      <b/>
      <sz val="12"/>
      <color indexed="8"/>
      <name val="Calibri"/>
      <family val="2"/>
    </font>
    <font>
      <b/>
      <sz val="11"/>
      <color indexed="8"/>
      <name val="Calibri"/>
      <family val="2"/>
    </font>
    <font>
      <sz val="11"/>
      <color indexed="8"/>
      <name val="Calibri"/>
      <family val="2"/>
    </font>
    <font>
      <b/>
      <sz val="14"/>
      <color indexed="14"/>
      <name val="Calibri"/>
      <family val="2"/>
    </font>
    <font>
      <b/>
      <sz val="10"/>
      <color indexed="53"/>
      <name val="Calibri"/>
      <family val="2"/>
    </font>
    <font>
      <b/>
      <sz val="12"/>
      <name val="Arial"/>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amily val="2"/>
    </font>
    <font>
      <b/>
      <sz val="11"/>
      <color indexed="60"/>
      <name val="Calibri"/>
      <family val="2"/>
    </font>
    <font>
      <b/>
      <sz val="11"/>
      <color indexed="14"/>
      <name val="Calibri"/>
      <family val="2"/>
    </font>
    <font>
      <sz val="22"/>
      <color indexed="9"/>
      <name val="Calibri"/>
      <family val="2"/>
    </font>
    <font>
      <sz val="10"/>
      <color indexed="60"/>
      <name val="Calibri"/>
      <family val="2"/>
    </font>
    <font>
      <sz val="11"/>
      <color indexed="12"/>
      <name val="Calibri"/>
      <family val="2"/>
    </font>
    <font>
      <i/>
      <sz val="11"/>
      <name val="Calibri"/>
      <family val="2"/>
    </font>
    <font>
      <sz val="10"/>
      <name val="Calibri"/>
      <family val="2"/>
    </font>
    <font>
      <sz val="9"/>
      <color indexed="16"/>
      <name val="Calibri"/>
      <family val="2"/>
    </font>
    <font>
      <b/>
      <i/>
      <sz val="14"/>
      <color indexed="12"/>
      <name val="Calibri"/>
      <family val="2"/>
    </font>
    <font>
      <b/>
      <sz val="9"/>
      <name val="Calibri"/>
      <family val="2"/>
    </font>
    <font>
      <sz val="16"/>
      <color indexed="9"/>
      <name val="Calibri"/>
      <family val="2"/>
    </font>
    <font>
      <i/>
      <sz val="11"/>
      <color indexed="8"/>
      <name val="Calibri"/>
      <family val="2"/>
    </font>
    <font>
      <b/>
      <sz val="14"/>
      <color indexed="44"/>
      <name val="Calibri"/>
      <family val="2"/>
    </font>
    <font>
      <b/>
      <sz val="14"/>
      <color indexed="51"/>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font>
    <font>
      <sz val="11"/>
      <color indexed="8"/>
      <name val="Calibri"/>
      <family val="2"/>
    </font>
    <font>
      <sz val="8"/>
      <color indexed="81"/>
      <name val="Tahoma"/>
      <family val="2"/>
    </font>
    <font>
      <b/>
      <sz val="20"/>
      <color indexed="8"/>
      <name val="Calibri"/>
      <family val="2"/>
    </font>
    <font>
      <sz val="20"/>
      <color indexed="8"/>
      <name val="Calibri"/>
      <family val="2"/>
    </font>
    <font>
      <sz val="11"/>
      <color theme="1"/>
      <name val="Calibri"/>
      <family val="2"/>
      <scheme val="minor"/>
    </font>
    <font>
      <sz val="11"/>
      <color rgb="FFFF0000"/>
      <name val="Calibri"/>
      <family val="2"/>
      <scheme val="minor"/>
    </font>
    <font>
      <sz val="8"/>
      <color rgb="FFFF0000"/>
      <name val="Calibri"/>
      <family val="2"/>
    </font>
    <font>
      <sz val="8"/>
      <color theme="1"/>
      <name val="Calibri"/>
      <family val="2"/>
    </font>
  </fonts>
  <fills count="38">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6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8"/>
        <bgColor indexed="64"/>
      </patternFill>
    </fill>
    <fill>
      <patternFill patternType="solid">
        <fgColor indexed="62"/>
        <bgColor indexed="64"/>
      </patternFill>
    </fill>
    <fill>
      <patternFill patternType="solid">
        <fgColor indexed="43"/>
        <bgColor indexed="51"/>
      </patternFill>
    </fill>
    <fill>
      <patternFill patternType="solid">
        <fgColor indexed="57"/>
        <bgColor indexed="64"/>
      </patternFill>
    </fill>
    <fill>
      <patternFill patternType="solid">
        <fgColor indexed="14"/>
        <bgColor indexed="64"/>
      </patternFill>
    </fill>
    <fill>
      <patternFill patternType="solid">
        <fgColor indexed="13"/>
        <bgColor indexed="64"/>
      </patternFill>
    </fill>
    <fill>
      <patternFill patternType="solid">
        <fgColor theme="0"/>
        <bgColor indexed="64"/>
      </patternFill>
    </fill>
  </fills>
  <borders count="2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auto="1"/>
      </right>
      <top style="thin">
        <color auto="1"/>
      </top>
      <bottom style="thin">
        <color auto="1"/>
      </bottom>
      <diagonal/>
    </border>
    <border>
      <left style="medium">
        <color indexed="16"/>
      </left>
      <right style="thin">
        <color auto="1"/>
      </right>
      <top style="thin">
        <color auto="1"/>
      </top>
      <bottom style="medium">
        <color indexed="16"/>
      </bottom>
      <diagonal/>
    </border>
    <border>
      <left/>
      <right/>
      <top/>
      <bottom style="medium">
        <color indexed="12"/>
      </bottom>
      <diagonal/>
    </border>
    <border>
      <left style="thin">
        <color auto="1"/>
      </left>
      <right style="thin">
        <color auto="1"/>
      </right>
      <top style="medium">
        <color indexed="48"/>
      </top>
      <bottom style="thin">
        <color auto="1"/>
      </bottom>
      <diagonal/>
    </border>
    <border>
      <left style="thin">
        <color auto="1"/>
      </left>
      <right style="medium">
        <color indexed="48"/>
      </right>
      <top style="medium">
        <color indexed="48"/>
      </top>
      <bottom style="thin">
        <color auto="1"/>
      </bottom>
      <diagonal/>
    </border>
    <border>
      <left style="medium">
        <color indexed="48"/>
      </left>
      <right style="thin">
        <color auto="1"/>
      </right>
      <top style="thin">
        <color auto="1"/>
      </top>
      <bottom style="thin">
        <color auto="1"/>
      </bottom>
      <diagonal/>
    </border>
    <border>
      <left style="thin">
        <color auto="1"/>
      </left>
      <right style="medium">
        <color indexed="48"/>
      </right>
      <top style="thin">
        <color auto="1"/>
      </top>
      <bottom style="thin">
        <color auto="1"/>
      </bottom>
      <diagonal/>
    </border>
    <border>
      <left style="medium">
        <color indexed="48"/>
      </left>
      <right style="thin">
        <color auto="1"/>
      </right>
      <top style="thin">
        <color auto="1"/>
      </top>
      <bottom style="medium">
        <color indexed="48"/>
      </bottom>
      <diagonal/>
    </border>
    <border>
      <left style="thin">
        <color auto="1"/>
      </left>
      <right style="medium">
        <color indexed="48"/>
      </right>
      <top style="thin">
        <color auto="1"/>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auto="1"/>
      </left>
      <right/>
      <top style="thin">
        <color auto="1"/>
      </top>
      <bottom style="thin">
        <color auto="1"/>
      </bottom>
      <diagonal/>
    </border>
    <border>
      <left style="thin">
        <color auto="1"/>
      </left>
      <right/>
      <top style="thin">
        <color auto="1"/>
      </top>
      <bottom style="medium">
        <color indexed="51"/>
      </bottom>
      <diagonal/>
    </border>
    <border>
      <left style="thin">
        <color auto="1"/>
      </left>
      <right style="medium">
        <color indexed="51"/>
      </right>
      <top style="thin">
        <color auto="1"/>
      </top>
      <bottom style="thin">
        <color auto="1"/>
      </bottom>
      <diagonal/>
    </border>
    <border>
      <left style="dotted">
        <color auto="1"/>
      </left>
      <right style="dotted">
        <color auto="1"/>
      </right>
      <top style="medium">
        <color indexed="52"/>
      </top>
      <bottom style="hair">
        <color auto="1"/>
      </bottom>
      <diagonal/>
    </border>
    <border>
      <left style="dotted">
        <color auto="1"/>
      </left>
      <right style="dotted">
        <color auto="1"/>
      </right>
      <top style="hair">
        <color auto="1"/>
      </top>
      <bottom style="hair">
        <color auto="1"/>
      </bottom>
      <diagonal/>
    </border>
    <border>
      <left style="dotted">
        <color auto="1"/>
      </left>
      <right style="dotted">
        <color auto="1"/>
      </right>
      <top style="hair">
        <color auto="1"/>
      </top>
      <bottom style="medium">
        <color indexed="52"/>
      </bottom>
      <diagonal/>
    </border>
    <border>
      <left style="dotted">
        <color indexed="62"/>
      </left>
      <right style="dotted">
        <color auto="1"/>
      </right>
      <top style="medium">
        <color indexed="62"/>
      </top>
      <bottom style="hair">
        <color auto="1"/>
      </bottom>
      <diagonal/>
    </border>
    <border>
      <left style="dotted">
        <color indexed="62"/>
      </left>
      <right style="dotted">
        <color auto="1"/>
      </right>
      <top style="hair">
        <color auto="1"/>
      </top>
      <bottom style="hair">
        <color auto="1"/>
      </bottom>
      <diagonal/>
    </border>
    <border>
      <left style="dotted">
        <color indexed="62"/>
      </left>
      <right style="dotted">
        <color auto="1"/>
      </right>
      <top style="hair">
        <color auto="1"/>
      </top>
      <bottom style="medium">
        <color indexed="62"/>
      </bottom>
      <diagonal/>
    </border>
    <border>
      <left style="hair">
        <color auto="1"/>
      </left>
      <right style="hair">
        <color auto="1"/>
      </right>
      <top style="medium">
        <color indexed="5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5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thin">
        <color indexed="30"/>
      </top>
      <bottom style="thin">
        <color indexed="30"/>
      </bottom>
      <diagonal/>
    </border>
    <border>
      <left/>
      <right style="thick">
        <color indexed="9"/>
      </right>
      <top/>
      <bottom/>
      <diagonal/>
    </border>
    <border>
      <left style="hair">
        <color auto="1"/>
      </left>
      <right style="hair">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51"/>
      </top>
      <bottom style="thin">
        <color auto="1"/>
      </bottom>
      <diagonal/>
    </border>
    <border>
      <left style="thin">
        <color auto="1"/>
      </left>
      <right style="thin">
        <color auto="1"/>
      </right>
      <top style="thin">
        <color auto="1"/>
      </top>
      <bottom style="medium">
        <color indexed="48"/>
      </bottom>
      <diagonal/>
    </border>
    <border>
      <left style="medium">
        <color indexed="16"/>
      </left>
      <right style="thin">
        <color indexed="16"/>
      </right>
      <top/>
      <bottom style="thin">
        <color indexed="16"/>
      </bottom>
      <diagonal/>
    </border>
    <border>
      <left/>
      <right style="thin">
        <color auto="1"/>
      </right>
      <top style="medium">
        <color indexed="51"/>
      </top>
      <bottom style="thin">
        <color auto="1"/>
      </bottom>
      <diagonal/>
    </border>
    <border>
      <left style="thin">
        <color auto="1"/>
      </left>
      <right/>
      <top/>
      <bottom/>
      <diagonal/>
    </border>
    <border>
      <left style="medium">
        <color indexed="60"/>
      </left>
      <right style="thin">
        <color auto="1"/>
      </right>
      <top style="thin">
        <color auto="1"/>
      </top>
      <bottom style="thin">
        <color auto="1"/>
      </bottom>
      <diagonal/>
    </border>
    <border>
      <left style="medium">
        <color indexed="60"/>
      </left>
      <right style="thin">
        <color auto="1"/>
      </right>
      <top style="thin">
        <color auto="1"/>
      </top>
      <bottom style="medium">
        <color indexed="60"/>
      </bottom>
      <diagonal/>
    </border>
    <border>
      <left style="medium">
        <color indexed="60"/>
      </left>
      <right/>
      <top style="medium">
        <color indexed="60"/>
      </top>
      <bottom style="thin">
        <color auto="1"/>
      </bottom>
      <diagonal/>
    </border>
    <border>
      <left style="thin">
        <color indexed="60"/>
      </left>
      <right style="thin">
        <color indexed="60"/>
      </right>
      <top style="medium">
        <color indexed="60"/>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16"/>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indexed="51"/>
      </left>
      <right style="medium">
        <color indexed="51"/>
      </right>
      <top style="medium">
        <color indexed="5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medium">
        <color indexed="16"/>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auto="1"/>
      </top>
      <bottom style="thin">
        <color auto="1"/>
      </bottom>
      <diagonal/>
    </border>
    <border>
      <left style="thin">
        <color indexed="16"/>
      </left>
      <right style="medium">
        <color indexed="16"/>
      </right>
      <top style="medium">
        <color auto="1"/>
      </top>
      <bottom style="thin">
        <color auto="1"/>
      </bottom>
      <diagonal/>
    </border>
    <border>
      <left style="medium">
        <color auto="1"/>
      </left>
      <right/>
      <top/>
      <bottom style="thin">
        <color auto="1"/>
      </bottom>
      <diagonal/>
    </border>
    <border>
      <left style="thin">
        <color indexed="16"/>
      </left>
      <right style="thin">
        <color indexed="16"/>
      </right>
      <top style="thin">
        <color indexed="16"/>
      </top>
      <bottom/>
      <diagonal/>
    </border>
    <border>
      <left style="thin">
        <color auto="1"/>
      </left>
      <right style="medium">
        <color indexed="60"/>
      </right>
      <top style="thin">
        <color auto="1"/>
      </top>
      <bottom style="thin">
        <color auto="1"/>
      </bottom>
      <diagonal/>
    </border>
    <border>
      <left style="thin">
        <color auto="1"/>
      </left>
      <right style="thin">
        <color auto="1"/>
      </right>
      <top style="thin">
        <color auto="1"/>
      </top>
      <bottom style="medium">
        <color indexed="60"/>
      </bottom>
      <diagonal/>
    </border>
    <border>
      <left style="thin">
        <color auto="1"/>
      </left>
      <right style="medium">
        <color indexed="60"/>
      </right>
      <top style="thin">
        <color auto="1"/>
      </top>
      <bottom style="medium">
        <color indexed="60"/>
      </bottom>
      <diagonal/>
    </border>
    <border>
      <left style="thin">
        <color indexed="16"/>
      </left>
      <right style="thin">
        <color indexed="16"/>
      </right>
      <top style="medium">
        <color indexed="51"/>
      </top>
      <bottom style="thin">
        <color auto="1"/>
      </bottom>
      <diagonal/>
    </border>
    <border>
      <left style="thin">
        <color indexed="16"/>
      </left>
      <right style="medium">
        <color indexed="51"/>
      </right>
      <top style="medium">
        <color indexed="51"/>
      </top>
      <bottom style="thin">
        <color auto="1"/>
      </bottom>
      <diagonal/>
    </border>
    <border>
      <left style="thin">
        <color indexed="60"/>
      </left>
      <right style="thin">
        <color indexed="60"/>
      </right>
      <top style="thin">
        <color indexed="60"/>
      </top>
      <bottom style="thin">
        <color indexed="60"/>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thin">
        <color indexed="60"/>
      </right>
      <top style="thin">
        <color indexed="60"/>
      </top>
      <bottom style="medium">
        <color indexed="60"/>
      </bottom>
      <diagonal/>
    </border>
    <border>
      <left style="thin">
        <color indexed="60"/>
      </left>
      <right style="medium">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auto="1"/>
      </left>
      <right style="thin">
        <color auto="1"/>
      </right>
      <top/>
      <bottom/>
      <diagonal/>
    </border>
    <border>
      <left/>
      <right style="medium">
        <color indexed="60"/>
      </right>
      <top style="medium">
        <color indexed="60"/>
      </top>
      <bottom/>
      <diagonal/>
    </border>
    <border>
      <left style="thin">
        <color auto="1"/>
      </left>
      <right style="thin">
        <color auto="1"/>
      </right>
      <top style="thin">
        <color auto="1"/>
      </top>
      <bottom style="medium">
        <color indexed="51"/>
      </bottom>
      <diagonal/>
    </border>
    <border>
      <left/>
      <right style="medium">
        <color auto="1"/>
      </right>
      <top style="thin">
        <color auto="1"/>
      </top>
      <bottom style="thin">
        <color auto="1"/>
      </bottom>
      <diagonal/>
    </border>
    <border>
      <left style="medium">
        <color indexed="60"/>
      </left>
      <right style="dotted">
        <color auto="1"/>
      </right>
      <top style="medium">
        <color indexed="60"/>
      </top>
      <bottom style="hair">
        <color auto="1"/>
      </bottom>
      <diagonal/>
    </border>
    <border>
      <left style="medium">
        <color indexed="60"/>
      </left>
      <right style="dotted">
        <color auto="1"/>
      </right>
      <top style="hair">
        <color auto="1"/>
      </top>
      <bottom style="hair">
        <color auto="1"/>
      </bottom>
      <diagonal/>
    </border>
    <border>
      <left style="medium">
        <color indexed="60"/>
      </left>
      <right style="dotted">
        <color auto="1"/>
      </right>
      <top style="hair">
        <color auto="1"/>
      </top>
      <bottom style="medium">
        <color indexed="60"/>
      </bottom>
      <diagonal/>
    </border>
    <border>
      <left style="medium">
        <color indexed="62"/>
      </left>
      <right/>
      <top style="medium">
        <color indexed="62"/>
      </top>
      <bottom style="hair">
        <color auto="1"/>
      </bottom>
      <diagonal/>
    </border>
    <border>
      <left style="medium">
        <color indexed="62"/>
      </left>
      <right/>
      <top style="hair">
        <color auto="1"/>
      </top>
      <bottom style="hair">
        <color auto="1"/>
      </bottom>
      <diagonal/>
    </border>
    <border>
      <left style="medium">
        <color indexed="62"/>
      </left>
      <right/>
      <top style="hair">
        <color auto="1"/>
      </top>
      <bottom style="medium">
        <color indexed="62"/>
      </bottom>
      <diagonal/>
    </border>
    <border>
      <left style="medium">
        <color indexed="51"/>
      </left>
      <right style="hair">
        <color auto="1"/>
      </right>
      <top style="medium">
        <color indexed="51"/>
      </top>
      <bottom style="hair">
        <color auto="1"/>
      </bottom>
      <diagonal/>
    </border>
    <border>
      <left style="medium">
        <color indexed="51"/>
      </left>
      <right style="hair">
        <color auto="1"/>
      </right>
      <top style="hair">
        <color auto="1"/>
      </top>
      <bottom style="hair">
        <color auto="1"/>
      </bottom>
      <diagonal/>
    </border>
    <border>
      <left style="medium">
        <color indexed="51"/>
      </left>
      <right/>
      <top/>
      <bottom style="hair">
        <color auto="1"/>
      </bottom>
      <diagonal/>
    </border>
    <border>
      <left style="medium">
        <color indexed="51"/>
      </left>
      <right/>
      <top/>
      <bottom style="thin">
        <color auto="1"/>
      </bottom>
      <diagonal/>
    </border>
    <border>
      <left/>
      <right/>
      <top/>
      <bottom style="thin">
        <color auto="1"/>
      </bottom>
      <diagonal/>
    </border>
    <border>
      <left style="medium">
        <color indexed="51"/>
      </left>
      <right style="medium">
        <color indexed="5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indexed="51"/>
      </right>
      <top/>
      <bottom style="thin">
        <color auto="1"/>
      </bottom>
      <diagonal/>
    </border>
    <border>
      <left style="thin">
        <color auto="1"/>
      </left>
      <right style="medium">
        <color indexed="51"/>
      </right>
      <top style="thin">
        <color auto="1"/>
      </top>
      <bottom style="medium">
        <color indexed="51"/>
      </bottom>
      <diagonal/>
    </border>
    <border>
      <left style="thin">
        <color auto="1"/>
      </left>
      <right style="medium">
        <color indexed="16"/>
      </right>
      <top style="thin">
        <color auto="1"/>
      </top>
      <bottom style="medium">
        <color indexed="16"/>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style="thin">
        <color auto="1"/>
      </right>
      <top/>
      <bottom style="thin">
        <color auto="1"/>
      </bottom>
      <diagonal/>
    </border>
    <border>
      <left style="medium">
        <color indexed="51"/>
      </left>
      <right style="thin">
        <color auto="1"/>
      </right>
      <top style="thin">
        <color auto="1"/>
      </top>
      <bottom style="thin">
        <color auto="1"/>
      </bottom>
      <diagonal/>
    </border>
    <border>
      <left style="medium">
        <color indexed="16"/>
      </left>
      <right/>
      <top style="medium">
        <color indexed="16"/>
      </top>
      <bottom style="thin">
        <color auto="1"/>
      </bottom>
      <diagonal/>
    </border>
    <border>
      <left/>
      <right/>
      <top style="medium">
        <color indexed="16"/>
      </top>
      <bottom style="thin">
        <color auto="1"/>
      </bottom>
      <diagonal/>
    </border>
    <border>
      <left/>
      <right style="medium">
        <color indexed="16"/>
      </right>
      <top style="medium">
        <color indexed="16"/>
      </top>
      <bottom style="thin">
        <color auto="1"/>
      </bottom>
      <diagonal/>
    </border>
    <border>
      <left style="medium">
        <color indexed="51"/>
      </left>
      <right style="thin">
        <color auto="1"/>
      </right>
      <top style="thin">
        <color auto="1"/>
      </top>
      <bottom/>
      <diagonal/>
    </border>
    <border>
      <left style="medium">
        <color indexed="51"/>
      </left>
      <right style="medium">
        <color indexed="51"/>
      </right>
      <top style="thin">
        <color auto="1"/>
      </top>
      <bottom style="thin">
        <color auto="1"/>
      </bottom>
      <diagonal/>
    </border>
    <border>
      <left style="medium">
        <color indexed="51"/>
      </left>
      <right/>
      <top style="medium">
        <color indexed="51"/>
      </top>
      <bottom style="thin">
        <color auto="1"/>
      </bottom>
      <diagonal/>
    </border>
    <border>
      <left/>
      <right/>
      <top style="medium">
        <color indexed="51"/>
      </top>
      <bottom style="thin">
        <color auto="1"/>
      </bottom>
      <diagonal/>
    </border>
    <border>
      <left/>
      <right style="medium">
        <color indexed="51"/>
      </right>
      <top style="medium">
        <color indexed="51"/>
      </top>
      <bottom style="thin">
        <color auto="1"/>
      </bottom>
      <diagonal/>
    </border>
    <border>
      <left/>
      <right style="thin">
        <color auto="1"/>
      </right>
      <top/>
      <bottom/>
      <diagonal/>
    </border>
    <border>
      <left style="medium">
        <color indexed="51"/>
      </left>
      <right/>
      <top style="thin">
        <color auto="1"/>
      </top>
      <bottom style="thin">
        <color auto="1"/>
      </bottom>
      <diagonal/>
    </border>
    <border>
      <left/>
      <right style="medium">
        <color indexed="51"/>
      </right>
      <top style="thin">
        <color auto="1"/>
      </top>
      <bottom style="thin">
        <color auto="1"/>
      </bottom>
      <diagonal/>
    </border>
    <border>
      <left style="medium">
        <color indexed="48"/>
      </left>
      <right style="thin">
        <color auto="1"/>
      </right>
      <top style="medium">
        <color indexed="48"/>
      </top>
      <bottom style="thin">
        <color auto="1"/>
      </bottom>
      <diagonal/>
    </border>
    <border>
      <left/>
      <right/>
      <top style="medium">
        <color indexed="60"/>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indexed="51"/>
      </left>
      <right/>
      <top style="thin">
        <color auto="1"/>
      </top>
      <bottom style="medium">
        <color indexed="51"/>
      </bottom>
      <diagonal/>
    </border>
    <border>
      <left/>
      <right/>
      <top style="thin">
        <color auto="1"/>
      </top>
      <bottom style="medium">
        <color indexed="51"/>
      </bottom>
      <diagonal/>
    </border>
    <border>
      <left/>
      <right style="medium">
        <color indexed="51"/>
      </right>
      <top style="thin">
        <color auto="1"/>
      </top>
      <bottom style="medium">
        <color indexed="51"/>
      </bottom>
      <diagonal/>
    </border>
    <border>
      <left style="medium">
        <color indexed="51"/>
      </left>
      <right style="thin">
        <color auto="1"/>
      </right>
      <top style="thin">
        <color auto="1"/>
      </top>
      <bottom style="medium">
        <color indexed="51"/>
      </bottom>
      <diagonal/>
    </border>
    <border>
      <left style="medium">
        <color indexed="51"/>
      </left>
      <right style="medium">
        <color indexed="51"/>
      </right>
      <top style="thin">
        <color auto="1"/>
      </top>
      <bottom style="medium">
        <color indexed="5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medium">
        <color indexed="5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ck">
        <color indexed="9"/>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indexed="51"/>
      </right>
      <top style="hair">
        <color auto="1"/>
      </top>
      <bottom style="hair">
        <color auto="1"/>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auto="1"/>
      </left>
      <right/>
      <top style="medium">
        <color indexed="51"/>
      </top>
      <bottom style="hair">
        <color auto="1"/>
      </bottom>
      <diagonal/>
    </border>
    <border>
      <left/>
      <right/>
      <top style="medium">
        <color indexed="51"/>
      </top>
      <bottom style="hair">
        <color auto="1"/>
      </bottom>
      <diagonal/>
    </border>
    <border>
      <left/>
      <right style="medium">
        <color indexed="51"/>
      </right>
      <top style="medium">
        <color indexed="51"/>
      </top>
      <bottom style="hair">
        <color auto="1"/>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hair">
        <color indexed="23"/>
      </bottom>
      <diagonal/>
    </border>
    <border>
      <left/>
      <right style="medium">
        <color indexed="62"/>
      </right>
      <top style="hair">
        <color indexed="23"/>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right style="medium">
        <color indexed="52"/>
      </right>
      <top/>
      <bottom style="medium">
        <color indexed="52"/>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style="medium">
        <color indexed="60"/>
      </right>
      <top style="hair">
        <color indexed="23"/>
      </top>
      <bottom style="hair">
        <color indexed="23"/>
      </bottom>
      <diagonal/>
    </border>
    <border>
      <left style="medium">
        <color indexed="60"/>
      </left>
      <right/>
      <top style="hair">
        <color auto="1"/>
      </top>
      <bottom style="hair">
        <color auto="1"/>
      </bottom>
      <diagonal/>
    </border>
    <border>
      <left/>
      <right style="medium">
        <color indexed="60"/>
      </right>
      <top style="hair">
        <color auto="1"/>
      </top>
      <bottom style="hair">
        <color auto="1"/>
      </bottom>
      <diagonal/>
    </border>
    <border>
      <left style="medium">
        <color indexed="60"/>
      </left>
      <right/>
      <top/>
      <bottom style="hair">
        <color auto="1"/>
      </bottom>
      <diagonal/>
    </border>
    <border>
      <left/>
      <right/>
      <top/>
      <bottom style="hair">
        <color auto="1"/>
      </bottom>
      <diagonal/>
    </border>
    <border>
      <left/>
      <right style="medium">
        <color indexed="60"/>
      </right>
      <top/>
      <bottom style="hair">
        <color auto="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right/>
      <top/>
      <bottom style="medium">
        <color indexed="52"/>
      </bottom>
      <diagonal/>
    </border>
    <border>
      <left style="medium">
        <color indexed="60"/>
      </left>
      <right/>
      <top/>
      <bottom style="medium">
        <color indexed="60"/>
      </bottom>
      <diagonal/>
    </border>
    <border>
      <left/>
      <right style="medium">
        <color indexed="60"/>
      </right>
      <top/>
      <bottom style="medium">
        <color indexed="60"/>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hair">
        <color indexed="57"/>
      </left>
      <right style="medium">
        <color indexed="57"/>
      </right>
      <top style="medium">
        <color indexed="57"/>
      </top>
      <bottom style="medium">
        <color indexed="57"/>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medium">
        <color auto="1"/>
      </right>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thin">
        <color auto="1"/>
      </left>
      <right style="thin">
        <color auto="1"/>
      </right>
      <top style="thin">
        <color auto="1"/>
      </top>
      <bottom/>
      <diagonal/>
    </border>
    <border>
      <left style="medium">
        <color auto="1"/>
      </left>
      <right style="hair">
        <color auto="1"/>
      </right>
      <top/>
      <bottom style="hair">
        <color auto="1"/>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57"/>
      </left>
      <right style="hair">
        <color indexed="57"/>
      </right>
      <top style="medium">
        <color indexed="57"/>
      </top>
      <bottom style="medium">
        <color indexed="57"/>
      </bottom>
      <diagonal/>
    </border>
    <border>
      <left style="medium">
        <color auto="1"/>
      </left>
      <right/>
      <top style="medium">
        <color indexed="57"/>
      </top>
      <bottom/>
      <diagonal/>
    </border>
    <border>
      <left/>
      <right/>
      <top style="medium">
        <color indexed="57"/>
      </top>
      <bottom/>
      <diagonal/>
    </border>
    <border>
      <left/>
      <right style="medium">
        <color auto="1"/>
      </right>
      <top style="medium">
        <color indexed="57"/>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style="hair">
        <color auto="1"/>
      </bottom>
      <diagonal/>
    </border>
    <border>
      <left/>
      <right/>
      <top style="medium">
        <color rgb="FFFFC000"/>
      </top>
      <bottom/>
      <diagonal/>
    </border>
    <border>
      <left style="thin">
        <color auto="1"/>
      </left>
      <right style="medium">
        <color indexed="51"/>
      </right>
      <top style="thin">
        <color auto="1"/>
      </top>
      <bottom style="medium">
        <color rgb="FFFFC000"/>
      </bottom>
      <diagonal/>
    </border>
  </borders>
  <cellStyleXfs count="6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7" borderId="0" applyNumberFormat="0" applyBorder="0" applyAlignment="0" applyProtection="0"/>
    <xf numFmtId="0" fontId="5" fillId="6" borderId="0" applyNumberFormat="0" applyBorder="0" applyAlignment="0" applyProtection="0"/>
    <xf numFmtId="0" fontId="9" fillId="2" borderId="1" applyNumberFormat="0" applyAlignment="0" applyProtection="0"/>
    <xf numFmtId="0" fontId="11" fillId="18" borderId="2" applyNumberFormat="0" applyAlignment="0" applyProtection="0"/>
    <xf numFmtId="164" fontId="3" fillId="0" borderId="0" applyFont="0" applyFill="0" applyBorder="0" applyAlignment="0" applyProtection="0"/>
    <xf numFmtId="170" fontId="2" fillId="0" borderId="0" applyFont="0" applyFill="0" applyBorder="0" applyAlignment="0" applyProtection="0"/>
    <xf numFmtId="0" fontId="13" fillId="0" borderId="0" applyNumberFormat="0" applyFill="0" applyBorder="0" applyAlignment="0" applyProtection="0"/>
    <xf numFmtId="0" fontId="4" fillId="7"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7" fillId="3" borderId="1" applyNumberFormat="0" applyAlignment="0" applyProtection="0"/>
    <xf numFmtId="0" fontId="10" fillId="0" borderId="3" applyNumberFormat="0" applyFill="0" applyAlignment="0" applyProtection="0"/>
    <xf numFmtId="164" fontId="2" fillId="0" borderId="0" applyFill="0" applyBorder="0" applyAlignment="0" applyProtection="0"/>
    <xf numFmtId="164" fontId="1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 fillId="0" borderId="0"/>
    <xf numFmtId="164" fontId="1" fillId="0" borderId="0"/>
    <xf numFmtId="164" fontId="132" fillId="0" borderId="0"/>
    <xf numFmtId="164" fontId="132" fillId="0" borderId="0"/>
    <xf numFmtId="164" fontId="132" fillId="0" borderId="0"/>
    <xf numFmtId="164" fontId="132" fillId="0" borderId="0"/>
    <xf numFmtId="0" fontId="67" fillId="0" borderId="0"/>
    <xf numFmtId="0" fontId="2" fillId="4" borderId="7" applyNumberFormat="0" applyFont="0" applyAlignment="0" applyProtection="0"/>
    <xf numFmtId="0" fontId="8" fillId="2" borderId="8" applyNumberFormat="0" applyAlignment="0" applyProtection="0"/>
    <xf numFmtId="9" fontId="3" fillId="0" borderId="0" applyFont="0" applyFill="0" applyBorder="0" applyAlignment="0" applyProtection="0"/>
    <xf numFmtId="0" fontId="42" fillId="0" borderId="0" applyNumberFormat="0" applyFill="0" applyBorder="0" applyAlignment="0" applyProtection="0"/>
    <xf numFmtId="164" fontId="132" fillId="0" borderId="9" applyNumberFormat="0" applyFill="0" applyAlignment="0" applyProtection="0"/>
    <xf numFmtId="164" fontId="1" fillId="0" borderId="9" applyNumberFormat="0" applyFill="0" applyAlignment="0" applyProtection="0"/>
    <xf numFmtId="164" fontId="1" fillId="0" borderId="9" applyNumberFormat="0" applyFill="0" applyAlignment="0" applyProtection="0"/>
    <xf numFmtId="164" fontId="132" fillId="0" borderId="9" applyNumberFormat="0" applyFill="0" applyAlignment="0" applyProtection="0"/>
    <xf numFmtId="0" fontId="76" fillId="0" borderId="0" applyNumberFormat="0" applyFill="0" applyBorder="0" applyAlignment="0" applyProtection="0"/>
  </cellStyleXfs>
  <cellXfs count="937">
    <xf numFmtId="0" fontId="0" fillId="0" borderId="0" xfId="0"/>
    <xf numFmtId="164" fontId="16" fillId="0" borderId="0" xfId="39" applyFont="1" applyFill="1" applyAlignment="1">
      <alignment vertical="center"/>
    </xf>
    <xf numFmtId="0" fontId="0" fillId="0" borderId="0" xfId="0" applyBorder="1" applyProtection="1"/>
    <xf numFmtId="0" fontId="0" fillId="0" borderId="0" xfId="0" applyProtection="1"/>
    <xf numFmtId="164" fontId="22" fillId="0" borderId="0" xfId="39" applyFont="1" applyFill="1" applyAlignment="1" applyProtection="1">
      <alignment vertical="center"/>
    </xf>
    <xf numFmtId="0" fontId="21" fillId="0" borderId="0" xfId="0" applyFont="1" applyProtection="1"/>
    <xf numFmtId="164" fontId="19" fillId="0" borderId="0" xfId="50" applyFont="1" applyFill="1" applyAlignment="1" applyProtection="1"/>
    <xf numFmtId="164" fontId="19" fillId="0" borderId="0" xfId="50" applyFont="1" applyFill="1" applyAlignment="1" applyProtection="1">
      <alignment horizontal="center"/>
    </xf>
    <xf numFmtId="164" fontId="19" fillId="0" borderId="0" xfId="50" applyFont="1" applyFill="1" applyAlignment="1" applyProtection="1">
      <alignment horizontal="right"/>
    </xf>
    <xf numFmtId="164" fontId="19" fillId="0" borderId="0" xfId="50" applyFont="1" applyFill="1" applyBorder="1" applyAlignment="1" applyProtection="1">
      <alignment horizontal="center"/>
    </xf>
    <xf numFmtId="164" fontId="132" fillId="0" borderId="0" xfId="49" applyProtection="1"/>
    <xf numFmtId="164" fontId="15" fillId="0" borderId="0" xfId="49" applyFont="1" applyProtection="1"/>
    <xf numFmtId="0" fontId="18" fillId="0" borderId="0" xfId="49" applyNumberFormat="1" applyFont="1" applyBorder="1" applyProtection="1"/>
    <xf numFmtId="164" fontId="132" fillId="0" borderId="0" xfId="51" applyProtection="1"/>
    <xf numFmtId="164" fontId="132" fillId="0" borderId="0" xfId="51" applyFill="1" applyBorder="1" applyAlignment="1" applyProtection="1">
      <alignment horizontal="left"/>
    </xf>
    <xf numFmtId="0" fontId="0" fillId="0" borderId="0" xfId="0" applyFill="1" applyBorder="1" applyProtection="1"/>
    <xf numFmtId="164" fontId="132" fillId="0" borderId="0" xfId="51" applyFill="1" applyBorder="1" applyProtection="1"/>
    <xf numFmtId="0" fontId="15" fillId="0" borderId="0" xfId="0" applyFont="1" applyProtection="1"/>
    <xf numFmtId="164" fontId="15" fillId="0" borderId="0" xfId="51"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164" fontId="28" fillId="0" borderId="0" xfId="0" applyNumberFormat="1" applyFont="1"/>
    <xf numFmtId="164" fontId="28" fillId="0" borderId="0" xfId="0" applyNumberFormat="1" applyFont="1" applyAlignment="1">
      <alignment horizontal="right"/>
    </xf>
    <xf numFmtId="166" fontId="28" fillId="0" borderId="0" xfId="28" applyNumberFormat="1" applyFont="1" applyAlignment="1">
      <alignment horizontal="left"/>
    </xf>
    <xf numFmtId="164" fontId="16" fillId="0" borderId="0" xfId="48" applyFont="1" applyFill="1" applyAlignment="1">
      <alignment vertical="center"/>
    </xf>
    <xf numFmtId="0" fontId="0" fillId="0" borderId="10"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56" applyNumberFormat="1" applyFont="1" applyFill="1" applyBorder="1" applyAlignment="1">
      <alignment horizontal="center"/>
    </xf>
    <xf numFmtId="10" fontId="6" fillId="0" borderId="0" xfId="56" applyNumberFormat="1" applyFont="1" applyFill="1" applyBorder="1" applyAlignment="1" applyProtection="1">
      <alignment horizontal="center"/>
      <protection locked="0"/>
    </xf>
    <xf numFmtId="164" fontId="28" fillId="0" borderId="0" xfId="0" applyNumberFormat="1" applyFont="1" applyFill="1" applyBorder="1" applyAlignment="1"/>
    <xf numFmtId="164" fontId="132" fillId="0" borderId="0" xfId="61" applyFill="1" applyBorder="1" applyAlignment="1" applyProtection="1">
      <alignment vertical="center"/>
      <protection locked="0"/>
    </xf>
    <xf numFmtId="165"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0" fontId="0" fillId="0" borderId="0" xfId="0" applyFill="1" applyBorder="1" applyAlignment="1">
      <alignment horizontal="centerContinuous"/>
    </xf>
    <xf numFmtId="164" fontId="39" fillId="0" borderId="0" xfId="61" applyFont="1" applyFill="1" applyBorder="1" applyAlignment="1" applyProtection="1">
      <alignment vertical="center"/>
      <protection locked="0"/>
    </xf>
    <xf numFmtId="0" fontId="0" fillId="0" borderId="10"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32" fillId="0" borderId="0" xfId="58"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164" fontId="69" fillId="0" borderId="0" xfId="49" applyFont="1" applyProtection="1"/>
    <xf numFmtId="164" fontId="69" fillId="0" borderId="0" xfId="51" applyFont="1" applyProtection="1"/>
    <xf numFmtId="0" fontId="69" fillId="0" borderId="10" xfId="0" applyFont="1" applyFill="1" applyBorder="1" applyAlignment="1" applyProtection="1">
      <alignment horizontal="center"/>
    </xf>
    <xf numFmtId="0" fontId="69" fillId="0" borderId="10" xfId="0" applyFont="1" applyFill="1" applyBorder="1" applyProtection="1"/>
    <xf numFmtId="164" fontId="69" fillId="0" borderId="10" xfId="51" applyFont="1" applyBorder="1" applyProtection="1"/>
    <xf numFmtId="0" fontId="70" fillId="0" borderId="10" xfId="0" applyFont="1" applyBorder="1" applyAlignment="1" applyProtection="1">
      <alignment horizontal="left" indent="1"/>
    </xf>
    <xf numFmtId="0" fontId="71" fillId="0" borderId="10" xfId="0" applyFont="1" applyBorder="1"/>
    <xf numFmtId="0" fontId="72" fillId="19" borderId="10" xfId="0" applyFont="1" applyFill="1" applyBorder="1" applyAlignment="1" applyProtection="1">
      <alignment horizontal="center"/>
    </xf>
    <xf numFmtId="0" fontId="72" fillId="19" borderId="10" xfId="0" applyFont="1" applyFill="1" applyBorder="1" applyAlignment="1">
      <alignment horizontal="center"/>
    </xf>
    <xf numFmtId="0" fontId="21" fillId="0" borderId="0" xfId="0" applyFont="1"/>
    <xf numFmtId="3" fontId="15" fillId="20" borderId="11" xfId="0" applyNumberFormat="1" applyFont="1" applyFill="1" applyBorder="1" applyAlignment="1">
      <alignment horizontal="right"/>
    </xf>
    <xf numFmtId="3" fontId="15" fillId="20" borderId="11" xfId="28" applyNumberFormat="1" applyFont="1" applyFill="1" applyBorder="1"/>
    <xf numFmtId="9" fontId="15" fillId="20" borderId="11" xfId="56" applyFont="1" applyFill="1" applyBorder="1"/>
    <xf numFmtId="9" fontId="15" fillId="20" borderId="11" xfId="56" applyNumberFormat="1" applyFont="1" applyFill="1" applyBorder="1"/>
    <xf numFmtId="0" fontId="15" fillId="20" borderId="11" xfId="0" applyFont="1" applyFill="1" applyBorder="1"/>
    <xf numFmtId="9" fontId="15" fillId="20" borderId="11" xfId="56" applyFont="1" applyFill="1" applyBorder="1" applyAlignment="1">
      <alignment horizontal="center"/>
    </xf>
    <xf numFmtId="0" fontId="15" fillId="0" borderId="0" xfId="0" applyFont="1"/>
    <xf numFmtId="0" fontId="33" fillId="0" borderId="0" xfId="0" applyFont="1" applyAlignment="1">
      <alignment horizontal="center"/>
    </xf>
    <xf numFmtId="164" fontId="61" fillId="0" borderId="0" xfId="48" applyFont="1" applyFill="1" applyAlignment="1">
      <alignment vertical="center"/>
    </xf>
    <xf numFmtId="0" fontId="14" fillId="0" borderId="0" xfId="0" applyFont="1"/>
    <xf numFmtId="0" fontId="46" fillId="0" borderId="0" xfId="0" applyFont="1" applyFill="1"/>
    <xf numFmtId="0" fontId="79" fillId="19" borderId="12" xfId="0" applyFont="1" applyFill="1" applyBorder="1" applyAlignment="1">
      <alignment vertical="center"/>
    </xf>
    <xf numFmtId="0" fontId="77" fillId="0" borderId="0" xfId="53" applyNumberFormat="1" applyFont="1" applyFill="1" applyBorder="1" applyAlignment="1">
      <alignment horizontal="center" vertical="center" wrapText="1"/>
    </xf>
    <xf numFmtId="0" fontId="77" fillId="21" borderId="13" xfId="53"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0"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164" fontId="39" fillId="0" borderId="0" xfId="61" applyFont="1" applyFill="1" applyBorder="1" applyAlignment="1" applyProtection="1">
      <alignment horizontal="center" vertical="center"/>
      <protection locked="0"/>
    </xf>
    <xf numFmtId="15" fontId="0" fillId="0" borderId="0" xfId="0" applyNumberFormat="1"/>
    <xf numFmtId="0" fontId="0" fillId="0" borderId="10" xfId="0" quotePrefix="1" applyNumberFormat="1" applyBorder="1"/>
    <xf numFmtId="164" fontId="31" fillId="0" borderId="14" xfId="61" applyFont="1" applyBorder="1" applyAlignment="1" applyProtection="1"/>
    <xf numFmtId="164" fontId="132" fillId="0" borderId="14" xfId="61" applyFill="1" applyBorder="1" applyAlignment="1" applyProtection="1">
      <alignment vertical="center"/>
    </xf>
    <xf numFmtId="164" fontId="3" fillId="0" borderId="14" xfId="61" applyFont="1" applyFill="1" applyBorder="1" applyAlignment="1" applyProtection="1">
      <alignment vertical="center"/>
    </xf>
    <xf numFmtId="164" fontId="31" fillId="0" borderId="0" xfId="61" applyFont="1" applyBorder="1" applyAlignment="1" applyProtection="1"/>
    <xf numFmtId="164" fontId="132" fillId="0" borderId="0" xfId="61" applyFill="1" applyBorder="1" applyAlignment="1" applyProtection="1">
      <alignment vertical="center"/>
    </xf>
    <xf numFmtId="164" fontId="3" fillId="0" borderId="0" xfId="61" applyFont="1" applyFill="1" applyBorder="1" applyAlignment="1" applyProtection="1">
      <alignment vertical="center"/>
    </xf>
    <xf numFmtId="0" fontId="32" fillId="0" borderId="15" xfId="0" applyFont="1" applyBorder="1" applyAlignment="1" applyProtection="1">
      <alignment horizontal="center"/>
    </xf>
    <xf numFmtId="15" fontId="32" fillId="0" borderId="16" xfId="0" applyNumberFormat="1" applyFont="1" applyBorder="1" applyAlignment="1" applyProtection="1">
      <alignment horizontal="center"/>
    </xf>
    <xf numFmtId="0" fontId="32" fillId="0" borderId="17" xfId="0" applyFont="1" applyBorder="1" applyAlignment="1" applyProtection="1">
      <alignment horizontal="center"/>
    </xf>
    <xf numFmtId="166"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56"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18" xfId="0" applyNumberFormat="1" applyFont="1" applyFill="1" applyBorder="1" applyAlignment="1" applyProtection="1"/>
    <xf numFmtId="0" fontId="26" fillId="0" borderId="18" xfId="0" applyFont="1" applyFill="1" applyBorder="1" applyProtection="1"/>
    <xf numFmtId="0" fontId="26" fillId="0" borderId="19" xfId="0" applyFont="1" applyFill="1" applyBorder="1" applyProtection="1"/>
    <xf numFmtId="164" fontId="38" fillId="0" borderId="20" xfId="61" applyFont="1" applyBorder="1" applyAlignment="1" applyProtection="1"/>
    <xf numFmtId="164" fontId="39" fillId="0" borderId="20" xfId="61" applyFont="1" applyFill="1" applyBorder="1" applyAlignment="1" applyProtection="1">
      <alignment vertical="center"/>
    </xf>
    <xf numFmtId="164" fontId="39" fillId="0" borderId="20" xfId="61" applyFont="1" applyFill="1" applyBorder="1" applyAlignment="1" applyProtection="1">
      <alignment horizontal="center" vertical="center"/>
    </xf>
    <xf numFmtId="164" fontId="39" fillId="0" borderId="0" xfId="61" applyFont="1" applyFill="1" applyBorder="1" applyAlignment="1" applyProtection="1">
      <alignment vertical="center"/>
    </xf>
    <xf numFmtId="164" fontId="38" fillId="0" borderId="0" xfId="61" applyFont="1" applyBorder="1" applyAlignment="1" applyProtection="1"/>
    <xf numFmtId="164" fontId="40" fillId="0" borderId="0" xfId="61" applyFont="1" applyFill="1" applyBorder="1" applyAlignment="1" applyProtection="1">
      <alignment vertical="center"/>
    </xf>
    <xf numFmtId="0" fontId="14" fillId="0" borderId="0" xfId="0" applyFont="1" applyBorder="1" applyAlignment="1" applyProtection="1">
      <alignment horizontal="center"/>
    </xf>
    <xf numFmtId="0" fontId="0" fillId="0" borderId="21" xfId="0" applyBorder="1" applyAlignment="1" applyProtection="1">
      <alignment horizontal="center"/>
    </xf>
    <xf numFmtId="0" fontId="14" fillId="0" borderId="21" xfId="0" applyFont="1" applyBorder="1" applyAlignment="1" applyProtection="1">
      <alignment horizontal="center"/>
    </xf>
    <xf numFmtId="0" fontId="14" fillId="0" borderId="21" xfId="0" applyFont="1" applyBorder="1" applyAlignment="1" applyProtection="1">
      <alignment horizontal="center" wrapText="1"/>
    </xf>
    <xf numFmtId="0" fontId="14" fillId="0" borderId="22" xfId="0" applyFont="1" applyBorder="1" applyAlignment="1" applyProtection="1">
      <alignment horizontal="center"/>
    </xf>
    <xf numFmtId="0" fontId="14" fillId="0" borderId="23" xfId="0" applyFont="1" applyBorder="1" applyAlignment="1" applyProtection="1">
      <alignment horizontal="center"/>
    </xf>
    <xf numFmtId="1" fontId="21" fillId="20" borderId="24" xfId="0" applyNumberFormat="1" applyFont="1" applyFill="1" applyBorder="1" applyAlignment="1" applyProtection="1">
      <alignment horizontal="center"/>
    </xf>
    <xf numFmtId="0" fontId="14" fillId="0" borderId="25" xfId="0" applyFont="1" applyBorder="1" applyAlignment="1" applyProtection="1">
      <alignment horizontal="center"/>
    </xf>
    <xf numFmtId="1" fontId="21" fillId="20" borderId="26" xfId="0" applyNumberFormat="1" applyFont="1" applyFill="1" applyBorder="1" applyAlignment="1" applyProtection="1">
      <alignment horizontal="center"/>
    </xf>
    <xf numFmtId="0" fontId="0" fillId="0" borderId="27" xfId="0" applyBorder="1" applyProtection="1"/>
    <xf numFmtId="0" fontId="0" fillId="0" borderId="22" xfId="0" applyBorder="1" applyAlignment="1" applyProtection="1">
      <alignment horizontal="center"/>
    </xf>
    <xf numFmtId="0" fontId="0" fillId="0" borderId="25" xfId="0" applyBorder="1" applyAlignment="1" applyProtection="1">
      <alignment horizontal="center"/>
    </xf>
    <xf numFmtId="0" fontId="32" fillId="0" borderId="21" xfId="0" applyFont="1" applyBorder="1" applyAlignment="1" applyProtection="1">
      <alignment horizontal="center"/>
    </xf>
    <xf numFmtId="0" fontId="32" fillId="0" borderId="22" xfId="0" applyFont="1" applyBorder="1" applyAlignment="1" applyProtection="1">
      <alignment horizontal="center"/>
    </xf>
    <xf numFmtId="0" fontId="0" fillId="0" borderId="0" xfId="0" applyFill="1" applyBorder="1" applyAlignment="1" applyProtection="1">
      <alignment horizontal="center" wrapText="1"/>
    </xf>
    <xf numFmtId="164" fontId="101" fillId="0" borderId="0" xfId="28" applyFont="1" applyFill="1" applyBorder="1" applyProtection="1"/>
    <xf numFmtId="164" fontId="0" fillId="0" borderId="0" xfId="0" applyNumberFormat="1" applyFill="1" applyBorder="1" applyProtection="1"/>
    <xf numFmtId="164" fontId="68" fillId="0" borderId="28" xfId="61" applyFont="1" applyFill="1" applyBorder="1" applyAlignment="1" applyProtection="1"/>
    <xf numFmtId="164" fontId="39" fillId="0" borderId="28" xfId="61" applyFont="1" applyFill="1" applyBorder="1" applyAlignment="1" applyProtection="1">
      <alignment vertical="center"/>
    </xf>
    <xf numFmtId="0" fontId="67" fillId="0" borderId="29" xfId="0" applyFont="1" applyFill="1" applyBorder="1" applyProtection="1"/>
    <xf numFmtId="0" fontId="67" fillId="0" borderId="30" xfId="0" applyFont="1" applyFill="1" applyBorder="1" applyProtection="1"/>
    <xf numFmtId="3" fontId="67" fillId="22" borderId="10" xfId="0" applyNumberFormat="1" applyFont="1" applyFill="1" applyBorder="1" applyAlignment="1" applyProtection="1">
      <alignment vertical="center"/>
      <protection locked="0"/>
    </xf>
    <xf numFmtId="3" fontId="67" fillId="22" borderId="31" xfId="0" applyNumberFormat="1" applyFont="1" applyFill="1" applyBorder="1" applyAlignment="1" applyProtection="1">
      <alignment vertical="center"/>
      <protection locked="0"/>
    </xf>
    <xf numFmtId="164" fontId="28" fillId="0" borderId="0" xfId="0" applyNumberFormat="1" applyFont="1" applyAlignment="1" applyProtection="1">
      <alignment horizontal="right"/>
    </xf>
    <xf numFmtId="166" fontId="28" fillId="0" borderId="0" xfId="28"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164" fontId="28" fillId="0" borderId="0" xfId="0" applyNumberFormat="1" applyFont="1" applyProtection="1"/>
    <xf numFmtId="164" fontId="28" fillId="0" borderId="0" xfId="0" applyNumberFormat="1" applyFont="1" applyBorder="1" applyProtection="1"/>
    <xf numFmtId="164" fontId="28" fillId="0" borderId="0" xfId="0" applyNumberFormat="1" applyFont="1" applyBorder="1" applyAlignment="1" applyProtection="1">
      <alignment horizontal="right"/>
    </xf>
    <xf numFmtId="166" fontId="28" fillId="0" borderId="0" xfId="28"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0" xfId="0" applyFont="1" applyBorder="1" applyAlignment="1" applyProtection="1">
      <alignment horizontal="center" vertical="center" wrapText="1"/>
    </xf>
    <xf numFmtId="3" fontId="28" fillId="0" borderId="10" xfId="0" applyNumberFormat="1" applyFont="1" applyBorder="1" applyAlignment="1" applyProtection="1">
      <alignment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2"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67"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0"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0" borderId="0" xfId="0" applyFont="1" applyFill="1" applyBorder="1" applyAlignment="1" applyProtection="1">
      <alignment horizontal="left" vertical="center"/>
    </xf>
    <xf numFmtId="169" fontId="52" fillId="20" borderId="0" xfId="0" applyNumberFormat="1" applyFont="1" applyFill="1" applyBorder="1" applyAlignment="1" applyProtection="1">
      <alignment vertical="center"/>
    </xf>
    <xf numFmtId="0" fontId="53" fillId="20" borderId="0" xfId="0" applyNumberFormat="1" applyFont="1" applyFill="1" applyBorder="1" applyAlignment="1" applyProtection="1">
      <alignment horizontal="right"/>
    </xf>
    <xf numFmtId="0" fontId="63" fillId="20" borderId="0" xfId="0" applyFont="1" applyFill="1" applyBorder="1" applyAlignment="1" applyProtection="1">
      <alignment horizontal="center" vertical="center"/>
    </xf>
    <xf numFmtId="0" fontId="54" fillId="20" borderId="0" xfId="0" applyFont="1" applyFill="1" applyBorder="1" applyAlignment="1" applyProtection="1">
      <alignment horizontal="center" vertical="center"/>
    </xf>
    <xf numFmtId="168" fontId="52" fillId="20" borderId="0" xfId="56" applyNumberFormat="1" applyFont="1" applyFill="1" applyBorder="1" applyAlignment="1" applyProtection="1">
      <alignment horizontal="right"/>
    </xf>
    <xf numFmtId="9" fontId="55" fillId="20" borderId="0" xfId="0" applyNumberFormat="1" applyFont="1" applyFill="1" applyBorder="1" applyProtection="1"/>
    <xf numFmtId="0" fontId="56" fillId="20" borderId="0" xfId="0" applyFont="1" applyFill="1" applyBorder="1" applyAlignment="1" applyProtection="1">
      <alignment horizontal="center" vertical="center"/>
    </xf>
    <xf numFmtId="9" fontId="55" fillId="20"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32" xfId="0" applyNumberFormat="1" applyFont="1" applyFill="1" applyBorder="1" applyAlignment="1" applyProtection="1">
      <alignment horizontal="right"/>
    </xf>
    <xf numFmtId="0" fontId="53" fillId="0" borderId="33" xfId="0" applyNumberFormat="1" applyFont="1" applyFill="1" applyBorder="1" applyAlignment="1" applyProtection="1">
      <alignment horizontal="right"/>
    </xf>
    <xf numFmtId="0" fontId="53" fillId="0" borderId="34"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35" xfId="0" applyNumberFormat="1" applyFont="1" applyFill="1" applyBorder="1" applyAlignment="1" applyProtection="1">
      <alignment horizontal="right"/>
    </xf>
    <xf numFmtId="9" fontId="55" fillId="0" borderId="0" xfId="0" applyNumberFormat="1" applyFont="1" applyFill="1" applyBorder="1" applyProtection="1"/>
    <xf numFmtId="0" fontId="53" fillId="0" borderId="36" xfId="0" applyNumberFormat="1" applyFont="1" applyFill="1" applyBorder="1" applyAlignment="1" applyProtection="1">
      <alignment horizontal="right"/>
    </xf>
    <xf numFmtId="0" fontId="53" fillId="0" borderId="37" xfId="0" applyNumberFormat="1" applyFont="1" applyFill="1" applyBorder="1" applyAlignment="1" applyProtection="1">
      <alignment horizontal="right"/>
    </xf>
    <xf numFmtId="0" fontId="34" fillId="0" borderId="38" xfId="0" applyNumberFormat="1" applyFont="1" applyFill="1" applyBorder="1" applyAlignment="1" applyProtection="1">
      <alignment vertical="center"/>
    </xf>
    <xf numFmtId="0" fontId="34" fillId="0" borderId="39" xfId="0" applyNumberFormat="1" applyFont="1" applyFill="1" applyBorder="1" applyAlignment="1" applyProtection="1">
      <alignment vertical="center"/>
    </xf>
    <xf numFmtId="0" fontId="34" fillId="0" borderId="40"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164"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164" fontId="0" fillId="0" borderId="0" xfId="0" applyNumberFormat="1" applyAlignment="1" applyProtection="1">
      <alignment horizontal="right"/>
    </xf>
    <xf numFmtId="3" fontId="0" fillId="0" borderId="0" xfId="0" applyNumberFormat="1" applyProtection="1"/>
    <xf numFmtId="164" fontId="37" fillId="0" borderId="0" xfId="0" applyNumberFormat="1" applyFont="1" applyBorder="1" applyProtection="1"/>
    <xf numFmtId="164" fontId="37" fillId="0" borderId="0" xfId="0" applyNumberFormat="1" applyFont="1" applyProtection="1"/>
    <xf numFmtId="166" fontId="6" fillId="0" borderId="0" xfId="28" applyNumberFormat="1" applyFont="1" applyFill="1" applyBorder="1" applyAlignment="1" applyProtection="1">
      <protection locked="0"/>
    </xf>
    <xf numFmtId="166" fontId="6" fillId="0" borderId="0" xfId="28" applyNumberFormat="1" applyFont="1" applyFill="1" applyBorder="1" applyProtection="1">
      <protection locked="0"/>
    </xf>
    <xf numFmtId="0" fontId="0" fillId="0" borderId="0" xfId="0" applyBorder="1" applyAlignment="1">
      <alignment horizontal="center"/>
    </xf>
    <xf numFmtId="0" fontId="15" fillId="20" borderId="0" xfId="0" applyFont="1" applyFill="1"/>
    <xf numFmtId="165" fontId="15" fillId="20" borderId="0" xfId="0" applyNumberFormat="1" applyFont="1" applyFill="1"/>
    <xf numFmtId="166" fontId="15" fillId="20" borderId="0" xfId="0" applyNumberFormat="1" applyFont="1" applyFill="1"/>
    <xf numFmtId="3" fontId="15" fillId="20" borderId="0" xfId="0" applyNumberFormat="1" applyFont="1" applyFill="1" applyProtection="1"/>
    <xf numFmtId="165" fontId="15" fillId="20"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0" borderId="0" xfId="0" applyFill="1" applyBorder="1" applyAlignment="1">
      <alignment horizontal="center"/>
    </xf>
    <xf numFmtId="0" fontId="28" fillId="0" borderId="41" xfId="0" applyFont="1" applyFill="1" applyBorder="1" applyAlignment="1" applyProtection="1">
      <alignment horizontal="center" wrapText="1"/>
    </xf>
    <xf numFmtId="0" fontId="28" fillId="0" borderId="42" xfId="0" applyFont="1" applyFill="1" applyBorder="1" applyAlignment="1" applyProtection="1">
      <alignment horizontal="center" wrapText="1"/>
    </xf>
    <xf numFmtId="0" fontId="0" fillId="0" borderId="42" xfId="0" applyBorder="1" applyProtection="1"/>
    <xf numFmtId="164" fontId="17" fillId="0" borderId="0" xfId="47" applyFont="1" applyFill="1" applyAlignment="1" applyProtection="1">
      <alignment horizontal="center" vertical="center"/>
    </xf>
    <xf numFmtId="164" fontId="16" fillId="0" borderId="0" xfId="47" applyFont="1" applyFill="1" applyAlignment="1" applyProtection="1">
      <alignment vertical="center"/>
    </xf>
    <xf numFmtId="0" fontId="84" fillId="0" borderId="0" xfId="0" applyFont="1"/>
    <xf numFmtId="164" fontId="14" fillId="0" borderId="0" xfId="0" applyNumberFormat="1" applyFont="1" applyAlignment="1" applyProtection="1">
      <alignment horizontal="center"/>
    </xf>
    <xf numFmtId="164" fontId="20" fillId="0" borderId="43" xfId="58" applyFont="1" applyBorder="1" applyAlignment="1" applyProtection="1">
      <alignment horizontal="right"/>
    </xf>
    <xf numFmtId="0" fontId="12" fillId="0" borderId="0" xfId="0" applyFont="1"/>
    <xf numFmtId="0" fontId="0" fillId="20" borderId="0" xfId="0" applyFill="1" applyProtection="1"/>
    <xf numFmtId="0" fontId="0" fillId="20" borderId="44" xfId="0" applyFill="1" applyBorder="1" applyProtection="1"/>
    <xf numFmtId="164" fontId="90" fillId="0" borderId="0" xfId="0" applyNumberFormat="1" applyFont="1"/>
    <xf numFmtId="0" fontId="90" fillId="0" borderId="0" xfId="0" applyFont="1"/>
    <xf numFmtId="164" fontId="0" fillId="0" borderId="0" xfId="0" quotePrefix="1" applyNumberFormat="1"/>
    <xf numFmtId="164" fontId="0" fillId="0" borderId="0" xfId="0" applyNumberFormat="1"/>
    <xf numFmtId="0" fontId="34" fillId="0" borderId="45" xfId="0" applyNumberFormat="1" applyFont="1" applyFill="1" applyBorder="1" applyAlignment="1" applyProtection="1">
      <alignment vertical="center"/>
    </xf>
    <xf numFmtId="164" fontId="132" fillId="0" borderId="0" xfId="52" applyFill="1" applyBorder="1" applyAlignment="1" applyProtection="1">
      <alignment horizontal="center"/>
    </xf>
    <xf numFmtId="0" fontId="34" fillId="0" borderId="0" xfId="0" quotePrefix="1" applyFont="1" applyProtection="1"/>
    <xf numFmtId="0" fontId="63" fillId="0" borderId="29" xfId="0" applyFont="1" applyBorder="1" applyAlignment="1">
      <alignment horizontal="justify" vertical="center" wrapText="1"/>
    </xf>
    <xf numFmtId="0" fontId="63" fillId="0" borderId="46" xfId="0" applyFont="1" applyBorder="1" applyAlignment="1">
      <alignment horizontal="justify" vertical="center" wrapText="1"/>
    </xf>
    <xf numFmtId="0" fontId="63" fillId="0" borderId="47" xfId="0" applyFont="1" applyBorder="1" applyAlignment="1">
      <alignment horizontal="justify" vertical="center" wrapText="1"/>
    </xf>
    <xf numFmtId="0" fontId="89" fillId="0" borderId="46" xfId="0" applyFont="1" applyBorder="1" applyAlignment="1">
      <alignment horizontal="justify" vertical="center" wrapText="1"/>
    </xf>
    <xf numFmtId="164" fontId="92" fillId="0" borderId="28" xfId="61" applyFont="1" applyFill="1" applyBorder="1" applyAlignment="1" applyProtection="1"/>
    <xf numFmtId="164" fontId="9" fillId="0" borderId="28" xfId="61" applyFont="1" applyFill="1" applyBorder="1" applyAlignment="1" applyProtection="1">
      <alignment vertical="center"/>
    </xf>
    <xf numFmtId="3" fontId="67" fillId="23" borderId="10" xfId="0" applyNumberFormat="1" applyFont="1" applyFill="1" applyBorder="1" applyAlignment="1" applyProtection="1">
      <alignment vertical="center"/>
      <protection locked="0"/>
    </xf>
    <xf numFmtId="0" fontId="88" fillId="0" borderId="29" xfId="0" applyFont="1" applyBorder="1" applyAlignment="1">
      <alignment vertical="center" wrapText="1"/>
    </xf>
    <xf numFmtId="0" fontId="88" fillId="0" borderId="46" xfId="0" applyFont="1" applyBorder="1" applyAlignment="1">
      <alignment vertical="center" wrapText="1"/>
    </xf>
    <xf numFmtId="0" fontId="2" fillId="0" borderId="48" xfId="0" applyFont="1" applyFill="1" applyBorder="1" applyAlignment="1" applyProtection="1">
      <alignment horizontal="center"/>
    </xf>
    <xf numFmtId="0" fontId="67" fillId="0" borderId="10" xfId="0" applyFont="1" applyFill="1" applyBorder="1" applyAlignment="1" applyProtection="1">
      <alignment horizontal="center"/>
    </xf>
    <xf numFmtId="0" fontId="1" fillId="0" borderId="0" xfId="0" applyFont="1"/>
    <xf numFmtId="0" fontId="95" fillId="0" borderId="0" xfId="0" applyFont="1"/>
    <xf numFmtId="0" fontId="63" fillId="22" borderId="29" xfId="0" applyFont="1" applyFill="1" applyBorder="1" applyAlignment="1">
      <alignment horizontal="justify" vertical="center" wrapText="1"/>
    </xf>
    <xf numFmtId="0" fontId="89" fillId="22" borderId="46" xfId="0" applyFont="1" applyFill="1" applyBorder="1" applyAlignment="1">
      <alignment horizontal="justify" vertical="center" wrapText="1"/>
    </xf>
    <xf numFmtId="0" fontId="89" fillId="22" borderId="47" xfId="0" applyFont="1" applyFill="1" applyBorder="1" applyAlignment="1">
      <alignment horizontal="justify" vertical="center" wrapText="1"/>
    </xf>
    <xf numFmtId="0" fontId="63" fillId="0" borderId="29" xfId="0" applyFont="1" applyBorder="1" applyAlignment="1" applyProtection="1">
      <alignment horizontal="justify" vertical="center" wrapText="1"/>
      <protection locked="0"/>
    </xf>
    <xf numFmtId="0" fontId="89" fillId="0" borderId="46" xfId="0" applyFont="1" applyBorder="1" applyAlignment="1" applyProtection="1">
      <alignment horizontal="justify" vertical="center" wrapText="1"/>
      <protection locked="0"/>
    </xf>
    <xf numFmtId="0" fontId="89" fillId="0" borderId="47" xfId="0" applyFont="1" applyBorder="1" applyAlignment="1" applyProtection="1">
      <alignment horizontal="justify" vertical="center" wrapText="1"/>
      <protection locked="0"/>
    </xf>
    <xf numFmtId="164" fontId="97" fillId="0" borderId="28" xfId="61" applyFont="1" applyFill="1" applyBorder="1" applyAlignment="1" applyProtection="1">
      <alignment vertical="center"/>
    </xf>
    <xf numFmtId="0" fontId="96" fillId="0" borderId="0" xfId="0" applyFont="1" applyFill="1"/>
    <xf numFmtId="15" fontId="6" fillId="0" borderId="0" xfId="0" applyNumberFormat="1" applyFont="1" applyFill="1" applyBorder="1" applyAlignment="1" applyProtection="1">
      <alignment horizontal="centerContinuous"/>
    </xf>
    <xf numFmtId="15" fontId="6" fillId="0" borderId="0" xfId="0" applyNumberFormat="1" applyFont="1" applyFill="1" applyBorder="1" applyAlignment="1" applyProtection="1">
      <alignment horizontal="center"/>
    </xf>
    <xf numFmtId="15" fontId="36" fillId="0" borderId="0" xfId="0" applyNumberFormat="1" applyFont="1" applyAlignment="1" applyProtection="1">
      <alignment horizontal="center"/>
    </xf>
    <xf numFmtId="1" fontId="21" fillId="24" borderId="10" xfId="0" applyNumberFormat="1" applyFont="1" applyFill="1" applyBorder="1" applyAlignment="1" applyProtection="1">
      <alignment horizontal="center"/>
      <protection locked="0"/>
    </xf>
    <xf numFmtId="1" fontId="21" fillId="24" borderId="49" xfId="0" applyNumberFormat="1" applyFont="1" applyFill="1" applyBorder="1" applyAlignment="1" applyProtection="1">
      <alignment horizontal="center"/>
      <protection locked="0"/>
    </xf>
    <xf numFmtId="1" fontId="0" fillId="24" borderId="10" xfId="0" applyNumberFormat="1" applyFill="1" applyBorder="1" applyAlignment="1" applyProtection="1">
      <alignment horizontal="center"/>
      <protection locked="0"/>
    </xf>
    <xf numFmtId="166" fontId="0" fillId="0" borderId="0" xfId="0" applyNumberFormat="1" applyProtection="1"/>
    <xf numFmtId="0" fontId="63" fillId="0" borderId="29" xfId="0" applyFont="1" applyBorder="1" applyAlignment="1" applyProtection="1">
      <alignment horizontal="left" vertical="center" wrapText="1"/>
      <protection locked="0"/>
    </xf>
    <xf numFmtId="0" fontId="63" fillId="0" borderId="46" xfId="0" applyFont="1" applyBorder="1" applyAlignment="1" applyProtection="1">
      <alignment horizontal="left" vertical="center" wrapText="1"/>
      <protection locked="0"/>
    </xf>
    <xf numFmtId="0" fontId="63" fillId="0" borderId="47" xfId="0" applyFont="1" applyBorder="1" applyAlignment="1" applyProtection="1">
      <alignment horizontal="left" vertical="center" wrapText="1"/>
      <protection locked="0"/>
    </xf>
    <xf numFmtId="164" fontId="20" fillId="0" borderId="0" xfId="50" applyFont="1" applyFill="1" applyAlignment="1" applyProtection="1">
      <alignment horizontal="right" vertical="center"/>
    </xf>
    <xf numFmtId="0" fontId="103" fillId="0" borderId="0" xfId="0" applyFont="1" applyFill="1" applyBorder="1" applyAlignment="1" applyProtection="1">
      <alignment horizontal="right"/>
    </xf>
    <xf numFmtId="0" fontId="63" fillId="22" borderId="29" xfId="0" applyFont="1" applyFill="1" applyBorder="1" applyAlignment="1">
      <alignment horizontal="left" vertical="center" wrapText="1"/>
    </xf>
    <xf numFmtId="0" fontId="63" fillId="22" borderId="46" xfId="0" applyFont="1" applyFill="1" applyBorder="1" applyAlignment="1">
      <alignment horizontal="left" vertical="center" wrapText="1"/>
    </xf>
    <xf numFmtId="0" fontId="63" fillId="22" borderId="47" xfId="0" applyFont="1" applyFill="1" applyBorder="1" applyAlignment="1">
      <alignment horizontal="left" vertical="center" wrapText="1"/>
    </xf>
    <xf numFmtId="164" fontId="104" fillId="0" borderId="14" xfId="61" applyFont="1" applyFill="1" applyBorder="1" applyAlignment="1" applyProtection="1">
      <alignment horizontal="left" vertical="center"/>
    </xf>
    <xf numFmtId="0" fontId="105" fillId="0" borderId="0" xfId="0" applyFont="1" applyFill="1" applyBorder="1" applyProtection="1"/>
    <xf numFmtId="0" fontId="103" fillId="0" borderId="0" xfId="0" applyFont="1" applyBorder="1" applyProtection="1"/>
    <xf numFmtId="3" fontId="6" fillId="0" borderId="0" xfId="0" applyNumberFormat="1" applyFont="1" applyAlignment="1" applyProtection="1">
      <alignment horizontal="right"/>
    </xf>
    <xf numFmtId="15" fontId="102" fillId="0" borderId="0" xfId="0" applyNumberFormat="1" applyFont="1" applyFill="1" applyBorder="1" applyAlignment="1" applyProtection="1">
      <alignment horizontal="left"/>
    </xf>
    <xf numFmtId="0" fontId="109" fillId="0" borderId="0" xfId="0" applyFont="1" applyFill="1" applyBorder="1" applyAlignment="1" applyProtection="1">
      <alignment horizontal="center" wrapText="1"/>
    </xf>
    <xf numFmtId="0" fontId="103" fillId="0" borderId="0" xfId="0" applyFont="1" applyFill="1" applyBorder="1" applyAlignment="1" applyProtection="1">
      <alignment horizontal="center"/>
    </xf>
    <xf numFmtId="0" fontId="0" fillId="0" borderId="0" xfId="0" quotePrefix="1" applyProtection="1"/>
    <xf numFmtId="15" fontId="32" fillId="0" borderId="50"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77" fillId="0" borderId="51" xfId="0" applyFont="1" applyFill="1" applyBorder="1" applyAlignment="1" applyProtection="1">
      <alignment horizontal="center" vertical="center"/>
    </xf>
    <xf numFmtId="0" fontId="115" fillId="0" borderId="0" xfId="0" applyFont="1" applyBorder="1" applyAlignment="1" applyProtection="1">
      <alignment horizontal="right"/>
    </xf>
    <xf numFmtId="0" fontId="115" fillId="0" borderId="0" xfId="0" applyFont="1" applyAlignment="1" applyProtection="1">
      <alignment horizontal="right"/>
    </xf>
    <xf numFmtId="0" fontId="115" fillId="0" borderId="52" xfId="0" applyFont="1" applyBorder="1" applyAlignment="1" applyProtection="1">
      <alignment horizontal="right"/>
    </xf>
    <xf numFmtId="164" fontId="114" fillId="0" borderId="0" xfId="39" applyFont="1" applyFill="1" applyAlignment="1" applyProtection="1">
      <alignment vertical="center"/>
    </xf>
    <xf numFmtId="0" fontId="115" fillId="0" borderId="0" xfId="0" applyFont="1" applyProtection="1"/>
    <xf numFmtId="0" fontId="115" fillId="0" borderId="0" xfId="0" applyFont="1" applyBorder="1" applyProtection="1"/>
    <xf numFmtId="15" fontId="1" fillId="0" borderId="10" xfId="58"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15" fontId="103" fillId="0" borderId="0" xfId="0" applyNumberFormat="1" applyFont="1" applyFill="1" applyBorder="1" applyAlignment="1" applyProtection="1">
      <alignment horizontal="center"/>
    </xf>
    <xf numFmtId="0" fontId="0" fillId="0" borderId="0" xfId="0" applyFill="1" applyBorder="1" applyProtection="1">
      <protection locked="0"/>
    </xf>
    <xf numFmtId="0" fontId="100" fillId="0" borderId="0" xfId="0" applyFont="1" applyFill="1" applyBorder="1" applyAlignment="1" applyProtection="1">
      <alignment horizontal="center" vertical="center"/>
    </xf>
    <xf numFmtId="0" fontId="6" fillId="0" borderId="53" xfId="0" applyFont="1" applyBorder="1" applyAlignment="1" applyProtection="1"/>
    <xf numFmtId="0" fontId="6" fillId="0" borderId="54" xfId="0" applyFont="1" applyBorder="1" applyAlignment="1" applyProtection="1"/>
    <xf numFmtId="0" fontId="25" fillId="0" borderId="55" xfId="0" applyFont="1" applyBorder="1" applyAlignment="1" applyProtection="1">
      <alignment vertical="distributed"/>
    </xf>
    <xf numFmtId="15" fontId="27" fillId="0" borderId="56"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10" fillId="0" borderId="0" xfId="0" applyFont="1" applyFill="1" applyBorder="1" applyAlignment="1" applyProtection="1">
      <alignment horizontal="left"/>
      <protection locked="0"/>
    </xf>
    <xf numFmtId="0" fontId="107" fillId="0" borderId="0" xfId="0" applyFont="1" applyFill="1" applyBorder="1" applyAlignment="1" applyProtection="1">
      <alignment horizontal="center" vertical="center"/>
    </xf>
    <xf numFmtId="0" fontId="26" fillId="0" borderId="57" xfId="0" applyFont="1" applyFill="1" applyBorder="1" applyAlignment="1" applyProtection="1"/>
    <xf numFmtId="15" fontId="26" fillId="0" borderId="10" xfId="0" applyNumberFormat="1" applyFont="1" applyFill="1" applyBorder="1" applyAlignment="1" applyProtection="1">
      <alignment horizontal="center"/>
    </xf>
    <xf numFmtId="15" fontId="26" fillId="0" borderId="58" xfId="0" applyNumberFormat="1" applyFont="1" applyFill="1" applyBorder="1" applyAlignment="1" applyProtection="1">
      <alignment horizontal="center"/>
    </xf>
    <xf numFmtId="0" fontId="32" fillId="25" borderId="59" xfId="0" applyFont="1" applyFill="1" applyBorder="1" applyAlignment="1" applyProtection="1">
      <alignment horizontal="centerContinuous"/>
    </xf>
    <xf numFmtId="15" fontId="111" fillId="0" borderId="42" xfId="0" applyNumberFormat="1" applyFont="1" applyFill="1" applyBorder="1" applyAlignment="1" applyProtection="1">
      <alignment horizontal="center" wrapText="1"/>
    </xf>
    <xf numFmtId="15" fontId="111" fillId="0" borderId="60" xfId="0" applyNumberFormat="1" applyFont="1" applyFill="1" applyBorder="1" applyAlignment="1" applyProtection="1">
      <alignment horizontal="center" wrapText="1"/>
    </xf>
    <xf numFmtId="0" fontId="37" fillId="0" borderId="57" xfId="0" applyFont="1" applyFill="1" applyBorder="1" applyAlignment="1" applyProtection="1">
      <alignment horizontal="center"/>
    </xf>
    <xf numFmtId="0" fontId="37" fillId="0" borderId="61" xfId="0" applyFont="1" applyFill="1" applyBorder="1" applyAlignment="1" applyProtection="1">
      <alignment horizontal="center"/>
    </xf>
    <xf numFmtId="0" fontId="32" fillId="25" borderId="62"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102" fillId="0" borderId="0" xfId="0" applyFont="1" applyFill="1" applyBorder="1" applyAlignment="1" applyProtection="1">
      <alignment horizontal="center"/>
    </xf>
    <xf numFmtId="0" fontId="108" fillId="0" borderId="0" xfId="0" applyFont="1" applyFill="1" applyBorder="1" applyAlignment="1" applyProtection="1">
      <alignment horizontal="center" vertical="center"/>
    </xf>
    <xf numFmtId="15" fontId="0" fillId="0" borderId="0" xfId="0" applyNumberFormat="1" applyFill="1" applyBorder="1" applyAlignment="1" applyProtection="1">
      <alignment horizontal="center"/>
      <protection locked="0"/>
    </xf>
    <xf numFmtId="1" fontId="0" fillId="0" borderId="24" xfId="0" applyNumberFormat="1" applyFill="1" applyBorder="1" applyAlignment="1" applyProtection="1">
      <alignment horizontal="center"/>
    </xf>
    <xf numFmtId="1" fontId="0" fillId="24" borderId="49" xfId="0" applyNumberFormat="1" applyFill="1" applyBorder="1" applyAlignment="1" applyProtection="1">
      <alignment horizontal="center"/>
      <protection locked="0"/>
    </xf>
    <xf numFmtId="14" fontId="0" fillId="0" borderId="10" xfId="0" applyNumberFormat="1" applyBorder="1" applyAlignment="1" applyProtection="1">
      <alignment horizontal="center"/>
      <protection locked="0"/>
    </xf>
    <xf numFmtId="0" fontId="0" fillId="0" borderId="63" xfId="0" applyBorder="1" applyAlignment="1" applyProtection="1">
      <alignment horizontal="center"/>
    </xf>
    <xf numFmtId="0" fontId="0" fillId="0" borderId="42" xfId="0" applyFill="1" applyBorder="1" applyAlignment="1" applyProtection="1">
      <alignment horizontal="center"/>
    </xf>
    <xf numFmtId="0" fontId="1" fillId="0" borderId="41" xfId="0" applyFont="1" applyFill="1" applyBorder="1" applyAlignment="1" applyProtection="1">
      <alignment horizontal="center" wrapText="1"/>
    </xf>
    <xf numFmtId="0" fontId="0" fillId="0" borderId="41" xfId="0" applyBorder="1" applyAlignment="1">
      <alignment horizontal="center" wrapText="1"/>
    </xf>
    <xf numFmtId="0" fontId="28" fillId="0" borderId="41" xfId="0" applyFont="1" applyBorder="1" applyAlignment="1">
      <alignment horizontal="center" wrapText="1"/>
    </xf>
    <xf numFmtId="0" fontId="1" fillId="0" borderId="60" xfId="0" applyFont="1" applyFill="1" applyBorder="1" applyAlignment="1" applyProtection="1">
      <alignment horizontal="center" wrapText="1"/>
    </xf>
    <xf numFmtId="3" fontId="67" fillId="23" borderId="31" xfId="0" applyNumberFormat="1" applyFont="1" applyFill="1" applyBorder="1" applyAlignment="1" applyProtection="1">
      <alignment vertical="center"/>
      <protection locked="0"/>
    </xf>
    <xf numFmtId="3" fontId="67" fillId="23" borderId="10" xfId="0" applyNumberFormat="1" applyFont="1" applyFill="1" applyBorder="1" applyAlignment="1" applyProtection="1">
      <alignment horizontal="right" vertical="center"/>
      <protection locked="0"/>
    </xf>
    <xf numFmtId="0" fontId="77" fillId="0" borderId="64" xfId="0" applyFont="1" applyFill="1" applyBorder="1" applyAlignment="1" applyProtection="1">
      <alignment horizontal="center" vertical="center"/>
    </xf>
    <xf numFmtId="164" fontId="116" fillId="0" borderId="20" xfId="61" applyFont="1" applyFill="1" applyBorder="1" applyAlignment="1" applyProtection="1">
      <alignment vertical="center"/>
    </xf>
    <xf numFmtId="0" fontId="24" fillId="0" borderId="0" xfId="0" applyFont="1" applyProtection="1"/>
    <xf numFmtId="164" fontId="111" fillId="0" borderId="0" xfId="0" applyNumberFormat="1" applyFont="1" applyBorder="1" applyAlignment="1" applyProtection="1">
      <alignment vertical="center" wrapText="1"/>
    </xf>
    <xf numFmtId="0" fontId="111" fillId="0" borderId="0" xfId="0" applyFont="1" applyFill="1" applyBorder="1" applyAlignment="1" applyProtection="1">
      <alignment wrapText="1"/>
    </xf>
    <xf numFmtId="164" fontId="20" fillId="0" borderId="43" xfId="58" applyFont="1" applyFill="1" applyBorder="1" applyAlignment="1" applyProtection="1">
      <alignment horizontal="right"/>
    </xf>
    <xf numFmtId="0" fontId="28" fillId="0" borderId="65" xfId="0" applyFont="1" applyFill="1" applyBorder="1" applyAlignment="1" applyProtection="1">
      <alignment wrapText="1"/>
    </xf>
    <xf numFmtId="0" fontId="34" fillId="0" borderId="66" xfId="0" applyFont="1" applyFill="1" applyBorder="1" applyAlignment="1" applyProtection="1">
      <alignment horizontal="center" wrapText="1"/>
    </xf>
    <xf numFmtId="0" fontId="21" fillId="20" borderId="29" xfId="0" applyFont="1" applyFill="1" applyBorder="1" applyAlignment="1" applyProtection="1"/>
    <xf numFmtId="0" fontId="21" fillId="20" borderId="67" xfId="0" applyFont="1" applyFill="1" applyBorder="1" applyAlignment="1" applyProtection="1"/>
    <xf numFmtId="0" fontId="28" fillId="0" borderId="0" xfId="0" applyFont="1" applyFill="1" applyBorder="1" applyAlignment="1" applyProtection="1">
      <alignment wrapText="1"/>
    </xf>
    <xf numFmtId="9" fontId="113" fillId="26" borderId="10" xfId="56" applyFont="1" applyFill="1" applyBorder="1" applyAlignment="1" applyProtection="1">
      <alignment horizontal="center" vertical="center" wrapText="1"/>
    </xf>
    <xf numFmtId="164" fontId="28" fillId="0" borderId="0" xfId="0" applyNumberFormat="1" applyFont="1" applyAlignment="1" applyProtection="1"/>
    <xf numFmtId="15" fontId="28" fillId="0" borderId="0" xfId="0" applyNumberFormat="1" applyFont="1"/>
    <xf numFmtId="0" fontId="0" fillId="0" borderId="28" xfId="0" applyFill="1" applyBorder="1" applyProtection="1"/>
    <xf numFmtId="164" fontId="117" fillId="0" borderId="28" xfId="61" applyFont="1" applyFill="1" applyBorder="1" applyAlignment="1" applyProtection="1">
      <alignment vertical="center"/>
    </xf>
    <xf numFmtId="0" fontId="0" fillId="0" borderId="28" xfId="0" applyBorder="1" applyProtection="1"/>
    <xf numFmtId="0" fontId="0" fillId="0" borderId="28" xfId="0" applyBorder="1"/>
    <xf numFmtId="9" fontId="15" fillId="0" borderId="0" xfId="56" applyFont="1" applyProtection="1"/>
    <xf numFmtId="14" fontId="24" fillId="24" borderId="43" xfId="58" applyNumberFormat="1" applyFont="1" applyFill="1" applyBorder="1" applyAlignment="1" applyProtection="1">
      <alignment horizontal="center" vertical="center"/>
    </xf>
    <xf numFmtId="164" fontId="24" fillId="24" borderId="43" xfId="58" applyFont="1" applyFill="1" applyBorder="1" applyAlignment="1" applyProtection="1">
      <alignment horizontal="center" vertical="center"/>
    </xf>
    <xf numFmtId="15" fontId="24" fillId="24" borderId="43" xfId="58" applyNumberFormat="1" applyFont="1" applyFill="1" applyBorder="1" applyAlignment="1" applyProtection="1">
      <alignment horizontal="center" vertical="center"/>
    </xf>
    <xf numFmtId="172" fontId="24" fillId="24" borderId="43" xfId="58" applyNumberFormat="1" applyFont="1" applyFill="1" applyBorder="1" applyAlignment="1" applyProtection="1">
      <alignment horizontal="center"/>
    </xf>
    <xf numFmtId="3" fontId="24" fillId="24" borderId="43" xfId="58" applyNumberFormat="1" applyFont="1" applyFill="1" applyBorder="1" applyAlignment="1" applyProtection="1">
      <alignment horizontal="center"/>
    </xf>
    <xf numFmtId="164" fontId="24" fillId="24" borderId="43" xfId="58" applyFont="1" applyFill="1" applyBorder="1" applyAlignment="1" applyProtection="1">
      <alignment horizontal="center"/>
    </xf>
    <xf numFmtId="15" fontId="24" fillId="24" borderId="43" xfId="58" applyNumberFormat="1" applyFont="1" applyFill="1" applyBorder="1" applyAlignment="1" applyProtection="1">
      <alignment horizontal="center"/>
    </xf>
    <xf numFmtId="164" fontId="90" fillId="0" borderId="0" xfId="0" applyNumberFormat="1" applyFont="1" applyAlignment="1"/>
    <xf numFmtId="0" fontId="34" fillId="0" borderId="41" xfId="0" applyFont="1" applyFill="1" applyBorder="1" applyAlignment="1" applyProtection="1">
      <alignment horizontal="center" wrapText="1"/>
    </xf>
    <xf numFmtId="0" fontId="67" fillId="0" borderId="68" xfId="0" applyFont="1" applyFill="1" applyBorder="1" applyProtection="1"/>
    <xf numFmtId="0" fontId="30" fillId="22" borderId="0" xfId="0" applyFont="1" applyFill="1" applyBorder="1" applyAlignment="1" applyProtection="1">
      <alignment horizontal="left"/>
      <protection locked="0"/>
    </xf>
    <xf numFmtId="0" fontId="34" fillId="22" borderId="0" xfId="0" applyFont="1" applyFill="1" applyBorder="1" applyAlignment="1" applyProtection="1">
      <alignment horizontal="left"/>
      <protection locked="0"/>
    </xf>
    <xf numFmtId="0" fontId="34" fillId="22" borderId="0" xfId="0" applyFont="1" applyFill="1" applyAlignment="1" applyProtection="1">
      <alignment horizontal="left"/>
      <protection locked="0"/>
    </xf>
    <xf numFmtId="49" fontId="0" fillId="0" borderId="0" xfId="0" applyNumberFormat="1" applyProtection="1"/>
    <xf numFmtId="0" fontId="0" fillId="24" borderId="49" xfId="0" applyNumberFormat="1" applyFill="1" applyBorder="1" applyAlignment="1" applyProtection="1">
      <alignment horizontal="center"/>
      <protection locked="0"/>
    </xf>
    <xf numFmtId="0" fontId="0" fillId="0" borderId="26" xfId="0" applyNumberFormat="1" applyFill="1" applyBorder="1" applyAlignment="1" applyProtection="1">
      <alignment horizontal="center"/>
    </xf>
    <xf numFmtId="0" fontId="0" fillId="24" borderId="26" xfId="0" applyNumberFormat="1" applyFill="1" applyBorder="1" applyAlignment="1" applyProtection="1">
      <alignment horizontal="center"/>
      <protection locked="0"/>
    </xf>
    <xf numFmtId="3" fontId="0" fillId="24" borderId="10" xfId="0" applyNumberFormat="1" applyFill="1" applyBorder="1" applyAlignment="1" applyProtection="1">
      <alignment horizontal="right" wrapText="1"/>
      <protection locked="0"/>
    </xf>
    <xf numFmtId="3" fontId="0" fillId="0" borderId="10" xfId="0" applyNumberFormat="1" applyBorder="1" applyAlignment="1" applyProtection="1">
      <alignment horizontal="right" wrapText="1"/>
    </xf>
    <xf numFmtId="3" fontId="0" fillId="24" borderId="10" xfId="0" applyNumberFormat="1" applyFill="1" applyBorder="1" applyProtection="1">
      <protection locked="0"/>
    </xf>
    <xf numFmtId="3" fontId="0" fillId="0" borderId="10" xfId="0" applyNumberFormat="1" applyFill="1" applyBorder="1" applyProtection="1"/>
    <xf numFmtId="3" fontId="0" fillId="24" borderId="69" xfId="0" applyNumberFormat="1" applyFill="1" applyBorder="1" applyProtection="1">
      <protection locked="0"/>
    </xf>
    <xf numFmtId="171" fontId="21" fillId="20" borderId="0" xfId="0" applyNumberFormat="1" applyFont="1" applyFill="1"/>
    <xf numFmtId="171" fontId="0" fillId="0" borderId="0" xfId="0" applyNumberFormat="1" applyFill="1" applyBorder="1" applyProtection="1">
      <protection locked="0"/>
    </xf>
    <xf numFmtId="4" fontId="0" fillId="0" borderId="0" xfId="0" applyNumberFormat="1" applyFill="1" applyBorder="1" applyProtection="1">
      <protection locked="0"/>
    </xf>
    <xf numFmtId="4" fontId="0" fillId="0" borderId="0" xfId="0" applyNumberFormat="1" applyProtection="1"/>
    <xf numFmtId="0" fontId="0" fillId="0" borderId="0" xfId="0" applyNumberFormat="1" applyFill="1" applyBorder="1" applyProtection="1">
      <protection locked="0"/>
    </xf>
    <xf numFmtId="1" fontId="0" fillId="25" borderId="10" xfId="0" applyNumberFormat="1" applyFill="1" applyBorder="1" applyAlignment="1" applyProtection="1">
      <alignment horizontal="center"/>
      <protection locked="0"/>
    </xf>
    <xf numFmtId="1" fontId="0" fillId="25" borderId="58" xfId="0" applyNumberFormat="1" applyFill="1" applyBorder="1" applyAlignment="1" applyProtection="1">
      <alignment horizontal="center"/>
      <protection locked="0"/>
    </xf>
    <xf numFmtId="1" fontId="0" fillId="25" borderId="70" xfId="0" applyNumberFormat="1" applyFill="1" applyBorder="1" applyAlignment="1" applyProtection="1">
      <alignment horizontal="center"/>
      <protection locked="0"/>
    </xf>
    <xf numFmtId="165" fontId="32" fillId="19" borderId="71" xfId="0" applyNumberFormat="1" applyFont="1" applyFill="1" applyBorder="1" applyAlignment="1" applyProtection="1">
      <alignment horizontal="center"/>
      <protection locked="0"/>
    </xf>
    <xf numFmtId="165" fontId="32" fillId="19" borderId="72" xfId="0" applyNumberFormat="1" applyFont="1" applyFill="1" applyBorder="1" applyAlignment="1" applyProtection="1">
      <alignment horizontal="center"/>
      <protection locked="0"/>
    </xf>
    <xf numFmtId="165" fontId="32" fillId="19" borderId="73" xfId="0" applyNumberFormat="1" applyFont="1" applyFill="1" applyBorder="1" applyAlignment="1" applyProtection="1">
      <alignment horizontal="center"/>
      <protection locked="0"/>
    </xf>
    <xf numFmtId="165" fontId="32" fillId="19" borderId="74" xfId="0" applyNumberFormat="1" applyFont="1" applyFill="1" applyBorder="1" applyAlignment="1" applyProtection="1">
      <alignment horizontal="center"/>
      <protection locked="0"/>
    </xf>
    <xf numFmtId="165" fontId="32" fillId="19" borderId="75" xfId="0" applyNumberFormat="1" applyFont="1" applyFill="1" applyBorder="1" applyAlignment="1" applyProtection="1">
      <alignment horizontal="center"/>
      <protection locked="0"/>
    </xf>
    <xf numFmtId="0" fontId="0" fillId="0" borderId="76" xfId="0" applyFill="1" applyBorder="1" applyAlignment="1" applyProtection="1">
      <alignment horizontal="center"/>
    </xf>
    <xf numFmtId="0" fontId="0" fillId="0" borderId="0" xfId="0" applyBorder="1" applyAlignment="1">
      <alignment horizontal="left" wrapText="1"/>
    </xf>
    <xf numFmtId="164" fontId="35" fillId="0" borderId="0" xfId="0" applyNumberFormat="1" applyFont="1"/>
    <xf numFmtId="0" fontId="0" fillId="0" borderId="0" xfId="0" applyBorder="1" applyAlignment="1">
      <alignment horizontal="left"/>
    </xf>
    <xf numFmtId="164" fontId="1" fillId="0" borderId="43" xfId="58" applyFont="1" applyBorder="1" applyAlignment="1" applyProtection="1">
      <alignment horizontal="right"/>
    </xf>
    <xf numFmtId="164" fontId="125" fillId="0" borderId="0" xfId="51" applyFont="1" applyFill="1" applyBorder="1" applyProtection="1"/>
    <xf numFmtId="3" fontId="28" fillId="25" borderId="71" xfId="0" applyNumberFormat="1" applyFont="1" applyFill="1" applyBorder="1" applyAlignment="1" applyProtection="1">
      <protection locked="0"/>
    </xf>
    <xf numFmtId="3" fontId="28" fillId="25" borderId="77" xfId="0" applyNumberFormat="1" applyFont="1" applyFill="1" applyBorder="1" applyAlignment="1" applyProtection="1">
      <protection locked="0"/>
    </xf>
    <xf numFmtId="3" fontId="28" fillId="0" borderId="10" xfId="0" applyNumberFormat="1" applyFont="1" applyFill="1" applyBorder="1" applyAlignment="1" applyProtection="1"/>
    <xf numFmtId="3" fontId="28" fillId="0" borderId="70" xfId="0" applyNumberFormat="1" applyFont="1" applyFill="1" applyBorder="1" applyAlignment="1" applyProtection="1"/>
    <xf numFmtId="3" fontId="21" fillId="25" borderId="10" xfId="28" applyNumberFormat="1" applyFont="1" applyFill="1" applyBorder="1" applyAlignment="1" applyProtection="1">
      <protection locked="0"/>
    </xf>
    <xf numFmtId="3" fontId="21" fillId="25" borderId="10" xfId="28" applyNumberFormat="1" applyFont="1" applyFill="1" applyBorder="1" applyProtection="1">
      <protection locked="0"/>
    </xf>
    <xf numFmtId="3" fontId="6" fillId="0" borderId="78" xfId="28" applyNumberFormat="1" applyFont="1" applyFill="1" applyBorder="1" applyAlignment="1" applyProtection="1"/>
    <xf numFmtId="3" fontId="21" fillId="25" borderId="79" xfId="28" applyNumberFormat="1" applyFont="1" applyFill="1" applyBorder="1" applyAlignment="1" applyProtection="1">
      <protection locked="0"/>
    </xf>
    <xf numFmtId="3" fontId="6" fillId="0" borderId="80" xfId="28" applyNumberFormat="1" applyFont="1" applyFill="1" applyBorder="1" applyAlignment="1" applyProtection="1"/>
    <xf numFmtId="165" fontId="14" fillId="19" borderId="81" xfId="0" applyNumberFormat="1" applyFont="1" applyFill="1" applyBorder="1" applyAlignment="1" applyProtection="1">
      <alignment horizontal="center"/>
      <protection locked="0"/>
    </xf>
    <xf numFmtId="165" fontId="14" fillId="19" borderId="82" xfId="0" applyNumberFormat="1" applyFont="1" applyFill="1" applyBorder="1" applyAlignment="1" applyProtection="1">
      <alignment horizontal="center"/>
      <protection locked="0"/>
    </xf>
    <xf numFmtId="0" fontId="0" fillId="25" borderId="10" xfId="0" applyFill="1" applyBorder="1" applyProtection="1"/>
    <xf numFmtId="0" fontId="0" fillId="24" borderId="10" xfId="0" applyFill="1" applyBorder="1" applyProtection="1"/>
    <xf numFmtId="3" fontId="1" fillId="25" borderId="83" xfId="28" applyNumberFormat="1" applyFont="1" applyFill="1" applyBorder="1" applyAlignment="1" applyProtection="1">
      <protection locked="0"/>
    </xf>
    <xf numFmtId="3" fontId="1" fillId="25" borderId="83" xfId="28" applyNumberFormat="1" applyFont="1" applyFill="1" applyBorder="1" applyProtection="1">
      <protection locked="0"/>
    </xf>
    <xf numFmtId="49" fontId="25" fillId="0" borderId="84" xfId="0" applyNumberFormat="1" applyFont="1" applyFill="1" applyBorder="1" applyAlignment="1" applyProtection="1">
      <alignment vertical="center" wrapText="1"/>
    </xf>
    <xf numFmtId="0" fontId="91" fillId="0" borderId="85" xfId="0" applyNumberFormat="1" applyFont="1" applyFill="1" applyBorder="1" applyAlignment="1" applyProtection="1">
      <alignment horizontal="center" vertical="center" wrapText="1"/>
    </xf>
    <xf numFmtId="0" fontId="91" fillId="0" borderId="86" xfId="0" applyNumberFormat="1" applyFont="1" applyFill="1" applyBorder="1" applyAlignment="1" applyProtection="1">
      <alignment horizontal="center" vertical="center" wrapText="1"/>
    </xf>
    <xf numFmtId="49" fontId="26" fillId="0" borderId="87" xfId="0" applyNumberFormat="1" applyFont="1" applyFill="1" applyBorder="1" applyAlignment="1" applyProtection="1">
      <alignment wrapText="1"/>
      <protection locked="0"/>
    </xf>
    <xf numFmtId="3" fontId="1" fillId="25" borderId="88" xfId="28" applyNumberFormat="1" applyFont="1" applyFill="1" applyBorder="1" applyProtection="1">
      <protection locked="0"/>
    </xf>
    <xf numFmtId="49" fontId="26" fillId="0" borderId="87" xfId="0" applyNumberFormat="1" applyFont="1" applyFill="1" applyBorder="1" applyAlignment="1" applyProtection="1">
      <protection locked="0"/>
    </xf>
    <xf numFmtId="0" fontId="26" fillId="0" borderId="87" xfId="0" applyFont="1" applyFill="1" applyBorder="1" applyAlignment="1" applyProtection="1">
      <alignment wrapText="1"/>
      <protection locked="0"/>
    </xf>
    <xf numFmtId="0" fontId="0" fillId="0" borderId="89" xfId="0" applyBorder="1" applyAlignment="1" applyProtection="1"/>
    <xf numFmtId="3" fontId="0" fillId="0" borderId="90" xfId="0" applyNumberFormat="1" applyBorder="1" applyProtection="1"/>
    <xf numFmtId="3" fontId="0" fillId="0" borderId="91" xfId="0" applyNumberFormat="1" applyBorder="1" applyProtection="1"/>
    <xf numFmtId="49" fontId="0" fillId="0" borderId="10" xfId="0" applyNumberFormat="1" applyBorder="1" applyAlignment="1" applyProtection="1">
      <alignment horizontal="center"/>
      <protection locked="0"/>
    </xf>
    <xf numFmtId="49" fontId="0" fillId="24" borderId="10" xfId="0" applyNumberFormat="1" applyFill="1" applyBorder="1" applyProtection="1">
      <protection locked="0"/>
    </xf>
    <xf numFmtId="0" fontId="0" fillId="24" borderId="10" xfId="0" applyNumberFormat="1" applyFill="1" applyBorder="1" applyProtection="1">
      <protection locked="0"/>
    </xf>
    <xf numFmtId="0" fontId="0" fillId="0" borderId="10" xfId="0" applyNumberFormat="1" applyFill="1" applyBorder="1" applyProtection="1"/>
    <xf numFmtId="0" fontId="0" fillId="24" borderId="10" xfId="0" applyNumberFormat="1" applyFill="1" applyBorder="1" applyAlignment="1" applyProtection="1">
      <alignment horizontal="center"/>
      <protection locked="0"/>
    </xf>
    <xf numFmtId="49" fontId="0" fillId="24" borderId="69" xfId="0" applyNumberFormat="1" applyFill="1" applyBorder="1" applyAlignment="1" applyProtection="1">
      <alignment horizontal="left"/>
      <protection locked="0"/>
    </xf>
    <xf numFmtId="0" fontId="0" fillId="24" borderId="69" xfId="0" applyNumberFormat="1" applyFill="1" applyBorder="1" applyProtection="1">
      <protection locked="0"/>
    </xf>
    <xf numFmtId="0" fontId="0" fillId="24" borderId="69" xfId="0" applyNumberFormat="1" applyFill="1" applyBorder="1" applyAlignment="1" applyProtection="1">
      <alignment horizontal="center"/>
      <protection locked="0"/>
    </xf>
    <xf numFmtId="164" fontId="132" fillId="25" borderId="92" xfId="61" applyFill="1" applyBorder="1" applyAlignment="1" applyProtection="1">
      <alignment vertical="center"/>
    </xf>
    <xf numFmtId="0" fontId="0" fillId="22" borderId="93" xfId="0" applyFill="1" applyBorder="1"/>
    <xf numFmtId="0" fontId="0" fillId="0" borderId="20" xfId="0" applyBorder="1" applyProtection="1"/>
    <xf numFmtId="164" fontId="39" fillId="24" borderId="94" xfId="61" applyFont="1" applyFill="1" applyBorder="1" applyAlignment="1" applyProtection="1">
      <alignment horizontal="center" vertical="center"/>
    </xf>
    <xf numFmtId="164" fontId="39" fillId="0" borderId="95" xfId="61" applyFont="1" applyFill="1" applyBorder="1" applyAlignment="1" applyProtection="1">
      <alignment vertical="center"/>
    </xf>
    <xf numFmtId="0" fontId="0" fillId="0" borderId="96" xfId="0" applyNumberFormat="1" applyFill="1" applyBorder="1"/>
    <xf numFmtId="15" fontId="27" fillId="0" borderId="97" xfId="0" applyNumberFormat="1" applyFont="1" applyFill="1" applyBorder="1" applyAlignment="1" applyProtection="1">
      <alignment horizontal="center" vertical="center" wrapText="1"/>
    </xf>
    <xf numFmtId="0" fontId="0" fillId="0" borderId="10" xfId="0" quotePrefix="1" applyNumberFormat="1" applyBorder="1" applyAlignment="1">
      <alignment horizontal="center"/>
    </xf>
    <xf numFmtId="3" fontId="0" fillId="0" borderId="0" xfId="0" applyNumberFormat="1" applyFill="1" applyBorder="1" applyProtection="1">
      <protection locked="0"/>
    </xf>
    <xf numFmtId="3" fontId="67" fillId="0" borderId="10" xfId="0" applyNumberFormat="1" applyFont="1" applyFill="1" applyBorder="1" applyAlignment="1" applyProtection="1">
      <alignment vertical="center"/>
    </xf>
    <xf numFmtId="3" fontId="67" fillId="0" borderId="98" xfId="0" applyNumberFormat="1" applyFont="1" applyFill="1" applyBorder="1" applyAlignment="1" applyProtection="1">
      <alignment vertical="center"/>
    </xf>
    <xf numFmtId="168" fontId="0" fillId="0" borderId="10" xfId="0" applyNumberFormat="1" applyFill="1" applyBorder="1" applyAlignment="1" applyProtection="1">
      <alignment horizontal="center"/>
    </xf>
    <xf numFmtId="168" fontId="15" fillId="27" borderId="99" xfId="0" applyNumberFormat="1" applyFont="1" applyFill="1" applyBorder="1" applyAlignment="1" applyProtection="1">
      <alignment horizontal="center"/>
    </xf>
    <xf numFmtId="168" fontId="21" fillId="27" borderId="99" xfId="0" applyNumberFormat="1" applyFont="1" applyFill="1" applyBorder="1" applyAlignment="1" applyProtection="1">
      <alignment horizontal="center"/>
    </xf>
    <xf numFmtId="49" fontId="84" fillId="0" borderId="10" xfId="0" applyNumberFormat="1" applyFont="1" applyBorder="1" applyAlignment="1" applyProtection="1">
      <alignment horizontal="center"/>
      <protection locked="0"/>
    </xf>
    <xf numFmtId="164" fontId="69" fillId="0" borderId="10" xfId="51" applyFont="1" applyBorder="1" applyAlignment="1" applyProtection="1">
      <alignment horizontal="center"/>
    </xf>
    <xf numFmtId="0" fontId="69" fillId="0" borderId="10" xfId="0" applyFont="1" applyBorder="1" applyAlignment="1" applyProtection="1">
      <alignment horizontal="center"/>
    </xf>
    <xf numFmtId="0" fontId="77" fillId="0" borderId="100" xfId="0" applyFont="1" applyFill="1" applyBorder="1" applyAlignment="1" applyProtection="1">
      <alignment horizontal="center" vertical="center" wrapText="1"/>
    </xf>
    <xf numFmtId="0" fontId="77" fillId="0" borderId="101" xfId="0" applyFont="1" applyFill="1" applyBorder="1" applyAlignment="1" applyProtection="1">
      <alignment horizontal="center"/>
    </xf>
    <xf numFmtId="0" fontId="77" fillId="0" borderId="102" xfId="0" applyFont="1" applyFill="1" applyBorder="1" applyAlignment="1" applyProtection="1">
      <alignment horizontal="center"/>
    </xf>
    <xf numFmtId="0" fontId="77" fillId="0" borderId="103" xfId="0" applyNumberFormat="1" applyFont="1" applyFill="1" applyBorder="1" applyAlignment="1" applyProtection="1">
      <alignment horizontal="center"/>
    </xf>
    <xf numFmtId="0" fontId="77" fillId="0" borderId="104" xfId="0" applyNumberFormat="1" applyFont="1" applyFill="1" applyBorder="1" applyAlignment="1" applyProtection="1">
      <alignment horizontal="center"/>
    </xf>
    <xf numFmtId="0" fontId="77" fillId="0" borderId="104" xfId="0" applyNumberFormat="1" applyFont="1" applyFill="1" applyBorder="1" applyAlignment="1" applyProtection="1">
      <alignment horizontal="center" vertical="center"/>
    </xf>
    <xf numFmtId="0" fontId="77" fillId="0" borderId="105" xfId="0" applyNumberFormat="1" applyFont="1" applyFill="1" applyBorder="1" applyAlignment="1" applyProtection="1">
      <alignment horizontal="center" vertical="center"/>
    </xf>
    <xf numFmtId="0" fontId="81" fillId="0" borderId="106" xfId="0" applyNumberFormat="1" applyFont="1" applyFill="1" applyBorder="1" applyAlignment="1" applyProtection="1">
      <alignment horizontal="center" vertical="center"/>
    </xf>
    <xf numFmtId="0" fontId="81" fillId="0" borderId="107" xfId="0" applyNumberFormat="1" applyFont="1" applyFill="1" applyBorder="1" applyAlignment="1" applyProtection="1">
      <alignment horizontal="center" vertical="center"/>
    </xf>
    <xf numFmtId="0" fontId="81" fillId="0" borderId="108" xfId="0" applyNumberFormat="1" applyFont="1" applyFill="1" applyBorder="1" applyAlignment="1" applyProtection="1">
      <alignment horizontal="center" vertical="center"/>
    </xf>
    <xf numFmtId="0" fontId="77" fillId="0" borderId="109" xfId="0" applyFont="1" applyFill="1" applyBorder="1" applyAlignment="1" applyProtection="1">
      <alignment horizontal="center" vertical="center"/>
    </xf>
    <xf numFmtId="0" fontId="77" fillId="0" borderId="110" xfId="0" applyFont="1" applyFill="1" applyBorder="1" applyAlignment="1" applyProtection="1">
      <alignment horizontal="center" vertical="center"/>
    </xf>
    <xf numFmtId="0" fontId="77" fillId="0" borderId="111" xfId="0" applyFont="1" applyFill="1" applyBorder="1" applyAlignment="1" applyProtection="1">
      <alignment horizontal="center" vertical="center"/>
    </xf>
    <xf numFmtId="0" fontId="77" fillId="0" borderId="112" xfId="0" applyFont="1" applyFill="1" applyBorder="1" applyAlignment="1" applyProtection="1">
      <alignment horizontal="center" vertical="center"/>
    </xf>
    <xf numFmtId="0" fontId="2" fillId="0" borderId="113" xfId="0" applyFont="1" applyFill="1" applyBorder="1" applyAlignment="1" applyProtection="1">
      <alignment horizontal="center"/>
    </xf>
    <xf numFmtId="165" fontId="14" fillId="19" borderId="110" xfId="0" applyNumberFormat="1" applyFont="1" applyFill="1" applyBorder="1" applyAlignment="1" applyProtection="1">
      <alignment horizontal="center"/>
      <protection locked="0"/>
    </xf>
    <xf numFmtId="165" fontId="14" fillId="19" borderId="114" xfId="0" applyNumberFormat="1" applyFont="1" applyFill="1" applyBorder="1" applyAlignment="1" applyProtection="1">
      <alignment horizontal="center"/>
      <protection locked="0"/>
    </xf>
    <xf numFmtId="168" fontId="0" fillId="20" borderId="10" xfId="0" applyNumberFormat="1" applyFill="1" applyBorder="1" applyAlignment="1" applyProtection="1">
      <alignment horizontal="center"/>
    </xf>
    <xf numFmtId="168" fontId="0" fillId="0" borderId="10" xfId="0" applyNumberFormat="1" applyBorder="1" applyAlignment="1" applyProtection="1">
      <alignment horizontal="center"/>
    </xf>
    <xf numFmtId="168" fontId="0" fillId="20" borderId="69" xfId="0" applyNumberFormat="1" applyFill="1" applyBorder="1" applyAlignment="1" applyProtection="1">
      <alignment horizontal="center"/>
    </xf>
    <xf numFmtId="168" fontId="0" fillId="0" borderId="69" xfId="0" applyNumberFormat="1" applyBorder="1" applyAlignment="1" applyProtection="1">
      <alignment horizontal="center"/>
    </xf>
    <xf numFmtId="0" fontId="67" fillId="28" borderId="10" xfId="0" applyFont="1" applyFill="1" applyBorder="1" applyAlignment="1" applyProtection="1">
      <alignment horizontal="center"/>
    </xf>
    <xf numFmtId="0" fontId="67" fillId="29" borderId="10" xfId="0" applyFont="1" applyFill="1" applyBorder="1" applyAlignment="1" applyProtection="1">
      <alignment horizontal="center"/>
    </xf>
    <xf numFmtId="3" fontId="67" fillId="30" borderId="10" xfId="0" applyNumberFormat="1" applyFont="1" applyFill="1" applyBorder="1" applyAlignment="1" applyProtection="1">
      <alignment vertical="center"/>
      <protection locked="0"/>
    </xf>
    <xf numFmtId="3" fontId="67" fillId="30" borderId="31" xfId="0" applyNumberFormat="1" applyFont="1" applyFill="1" applyBorder="1" applyAlignment="1" applyProtection="1">
      <alignment vertical="center"/>
      <protection locked="0"/>
    </xf>
    <xf numFmtId="3" fontId="67" fillId="23" borderId="31" xfId="0" applyNumberFormat="1" applyFont="1" applyFill="1" applyBorder="1" applyAlignment="1" applyProtection="1">
      <alignment horizontal="right" vertical="center"/>
      <protection locked="0"/>
    </xf>
    <xf numFmtId="0" fontId="67" fillId="28" borderId="98" xfId="0" applyFont="1" applyFill="1" applyBorder="1" applyAlignment="1" applyProtection="1">
      <alignment horizontal="center"/>
    </xf>
    <xf numFmtId="3" fontId="67" fillId="23" borderId="98" xfId="0" applyNumberFormat="1" applyFont="1" applyFill="1" applyBorder="1" applyAlignment="1" applyProtection="1">
      <alignment horizontal="right" vertical="center"/>
      <protection locked="0"/>
    </xf>
    <xf numFmtId="3" fontId="67" fillId="23" borderId="115" xfId="0" applyNumberFormat="1" applyFont="1" applyFill="1" applyBorder="1" applyAlignment="1" applyProtection="1">
      <alignment horizontal="right" vertical="center"/>
      <protection locked="0"/>
    </xf>
    <xf numFmtId="0" fontId="67" fillId="28" borderId="10" xfId="0" applyFont="1" applyFill="1" applyBorder="1" applyProtection="1"/>
    <xf numFmtId="3" fontId="67" fillId="28" borderId="10" xfId="0" applyNumberFormat="1" applyFont="1" applyFill="1" applyBorder="1" applyAlignment="1" applyProtection="1">
      <alignment vertical="center"/>
    </xf>
    <xf numFmtId="0" fontId="0" fillId="0" borderId="240" xfId="0" applyBorder="1"/>
    <xf numFmtId="0" fontId="0" fillId="0" borderId="69" xfId="0" applyNumberFormat="1" applyFill="1" applyBorder="1" applyProtection="1"/>
    <xf numFmtId="3" fontId="0" fillId="0" borderId="69" xfId="0" applyNumberFormat="1" applyFill="1" applyBorder="1" applyProtection="1"/>
    <xf numFmtId="168" fontId="0" fillId="0" borderId="69" xfId="0" applyNumberFormat="1" applyFill="1" applyBorder="1" applyAlignment="1" applyProtection="1">
      <alignment horizontal="center"/>
    </xf>
    <xf numFmtId="0" fontId="0" fillId="0" borderId="61" xfId="0" applyBorder="1" applyAlignment="1" applyProtection="1">
      <alignment horizontal="center" wrapText="1"/>
    </xf>
    <xf numFmtId="3" fontId="1" fillId="0" borderId="69" xfId="28" applyNumberFormat="1" applyFont="1" applyFill="1" applyBorder="1" applyAlignment="1" applyProtection="1">
      <alignment horizontal="right"/>
    </xf>
    <xf numFmtId="3" fontId="0" fillId="0" borderId="69" xfId="0" applyNumberFormat="1" applyBorder="1" applyAlignment="1" applyProtection="1">
      <alignment horizontal="right" wrapText="1"/>
    </xf>
    <xf numFmtId="0" fontId="0" fillId="37" borderId="26" xfId="0" applyNumberFormat="1" applyFill="1" applyBorder="1" applyAlignment="1" applyProtection="1">
      <alignment horizontal="center"/>
      <protection locked="0"/>
    </xf>
    <xf numFmtId="3" fontId="0" fillId="24" borderId="59" xfId="0" applyNumberFormat="1" applyFill="1" applyBorder="1" applyAlignment="1" applyProtection="1">
      <alignment horizontal="right" wrapText="1"/>
      <protection locked="0"/>
    </xf>
    <xf numFmtId="3" fontId="0" fillId="0" borderId="59" xfId="0" applyNumberFormat="1" applyBorder="1" applyAlignment="1" applyProtection="1">
      <alignment horizontal="right" wrapText="1"/>
    </xf>
    <xf numFmtId="3" fontId="0" fillId="0" borderId="62" xfId="0" applyNumberFormat="1" applyBorder="1" applyAlignment="1" applyProtection="1">
      <alignment horizontal="right" wrapText="1"/>
    </xf>
    <xf numFmtId="168" fontId="0" fillId="0" borderId="59" xfId="0" applyNumberFormat="1" applyFill="1" applyBorder="1" applyProtection="1"/>
    <xf numFmtId="168" fontId="0" fillId="0" borderId="62" xfId="0" applyNumberFormat="1" applyFill="1" applyBorder="1" applyProtection="1"/>
    <xf numFmtId="3" fontId="67" fillId="0" borderId="31" xfId="0" applyNumberFormat="1" applyFont="1" applyFill="1" applyBorder="1" applyAlignment="1" applyProtection="1">
      <alignment vertical="center"/>
    </xf>
    <xf numFmtId="3" fontId="67" fillId="28" borderId="31" xfId="0" applyNumberFormat="1" applyFont="1" applyFill="1" applyBorder="1" applyAlignment="1" applyProtection="1">
      <alignment vertical="center"/>
    </xf>
    <xf numFmtId="3" fontId="67" fillId="0" borderId="241" xfId="0" applyNumberFormat="1" applyFont="1" applyFill="1" applyBorder="1" applyAlignment="1" applyProtection="1">
      <alignment vertical="center"/>
    </xf>
    <xf numFmtId="0" fontId="34" fillId="22" borderId="0" xfId="0" applyFont="1" applyFill="1" applyBorder="1" applyAlignment="1" applyProtection="1">
      <alignment horizontal="left" vertical="top" wrapText="1"/>
      <protection locked="0"/>
    </xf>
    <xf numFmtId="9" fontId="67" fillId="22" borderId="10" xfId="0" applyNumberFormat="1" applyFont="1" applyFill="1" applyBorder="1" applyAlignment="1" applyProtection="1">
      <alignment vertical="center"/>
      <protection locked="0"/>
    </xf>
    <xf numFmtId="9" fontId="67" fillId="23" borderId="10" xfId="0" applyNumberFormat="1" applyFont="1" applyFill="1" applyBorder="1" applyAlignment="1" applyProtection="1">
      <alignment vertical="center"/>
      <protection locked="0"/>
    </xf>
    <xf numFmtId="9" fontId="67" fillId="23" borderId="10" xfId="0" applyNumberFormat="1" applyFont="1" applyFill="1" applyBorder="1" applyAlignment="1" applyProtection="1">
      <alignment horizontal="right" vertical="center"/>
      <protection locked="0"/>
    </xf>
    <xf numFmtId="9" fontId="67" fillId="30" borderId="10" xfId="0" applyNumberFormat="1" applyFont="1" applyFill="1" applyBorder="1" applyAlignment="1" applyProtection="1">
      <alignment vertical="center"/>
      <protection locked="0"/>
    </xf>
    <xf numFmtId="9" fontId="67" fillId="0" borderId="10" xfId="0" applyNumberFormat="1" applyFont="1" applyFill="1" applyBorder="1" applyAlignment="1" applyProtection="1">
      <alignment vertical="center"/>
    </xf>
    <xf numFmtId="9" fontId="67" fillId="28" borderId="10" xfId="0" applyNumberFormat="1" applyFont="1" applyFill="1" applyBorder="1" applyAlignment="1" applyProtection="1">
      <alignment vertical="center"/>
    </xf>
    <xf numFmtId="1" fontId="133" fillId="25" borderId="58" xfId="0" applyNumberFormat="1" applyFont="1" applyFill="1" applyBorder="1" applyAlignment="1" applyProtection="1">
      <alignment horizontal="center"/>
      <protection locked="0"/>
    </xf>
    <xf numFmtId="1" fontId="133" fillId="25" borderId="116" xfId="0" applyNumberFormat="1" applyFont="1" applyFill="1" applyBorder="1" applyAlignment="1" applyProtection="1">
      <alignment horizontal="center"/>
      <protection locked="0"/>
    </xf>
    <xf numFmtId="9" fontId="67" fillId="23" borderId="10" xfId="56" applyFont="1" applyFill="1" applyBorder="1" applyAlignment="1" applyProtection="1">
      <alignment horizontal="right" vertical="center"/>
      <protection locked="0"/>
    </xf>
    <xf numFmtId="9" fontId="2" fillId="23" borderId="0" xfId="56" applyFont="1" applyFill="1" applyBorder="1" applyAlignment="1" applyProtection="1">
      <alignment horizontal="right" vertical="center"/>
      <protection locked="0"/>
    </xf>
    <xf numFmtId="3" fontId="2" fillId="30" borderId="0" xfId="0" applyNumberFormat="1" applyFont="1" applyFill="1" applyBorder="1" applyAlignment="1" applyProtection="1">
      <alignment vertical="center"/>
      <protection locked="0"/>
    </xf>
    <xf numFmtId="9" fontId="2" fillId="30" borderId="0" xfId="0" applyNumberFormat="1" applyFont="1" applyFill="1" applyBorder="1" applyAlignment="1" applyProtection="1">
      <alignment vertical="center"/>
      <protection locked="0"/>
    </xf>
    <xf numFmtId="9" fontId="2" fillId="23" borderId="0" xfId="0" applyNumberFormat="1" applyFont="1" applyFill="1" applyBorder="1" applyAlignment="1" applyProtection="1">
      <alignment horizontal="right" vertical="center"/>
      <protection locked="0"/>
    </xf>
    <xf numFmtId="3" fontId="2" fillId="22" borderId="0" xfId="0" applyNumberFormat="1" applyFont="1" applyFill="1" applyBorder="1" applyAlignment="1" applyProtection="1">
      <alignment vertical="center"/>
      <protection locked="0"/>
    </xf>
    <xf numFmtId="9" fontId="2" fillId="23" borderId="0" xfId="0" applyNumberFormat="1" applyFont="1" applyFill="1" applyBorder="1" applyAlignment="1" applyProtection="1">
      <alignment vertical="center"/>
      <protection locked="0"/>
    </xf>
    <xf numFmtId="9" fontId="2" fillId="22" borderId="0" xfId="0" applyNumberFormat="1" applyFont="1" applyFill="1" applyBorder="1" applyAlignment="1" applyProtection="1">
      <alignment vertical="center"/>
      <protection locked="0"/>
    </xf>
    <xf numFmtId="3" fontId="2" fillId="22" borderId="10" xfId="0" applyNumberFormat="1" applyFont="1" applyFill="1" applyBorder="1" applyAlignment="1" applyProtection="1">
      <alignment vertical="center"/>
      <protection locked="0"/>
    </xf>
    <xf numFmtId="3" fontId="28" fillId="0" borderId="10" xfId="0" applyNumberFormat="1" applyFont="1" applyBorder="1" applyAlignment="1" applyProtection="1">
      <alignment horizontal="right" vertical="center" wrapText="1"/>
    </xf>
    <xf numFmtId="9" fontId="2" fillId="23" borderId="10" xfId="56" applyFont="1" applyFill="1" applyBorder="1" applyAlignment="1" applyProtection="1">
      <alignment horizontal="right" vertical="center"/>
      <protection locked="0"/>
    </xf>
    <xf numFmtId="3" fontId="67" fillId="22" borderId="29" xfId="0" applyNumberFormat="1" applyFont="1" applyFill="1" applyBorder="1" applyAlignment="1" applyProtection="1">
      <alignment vertical="center"/>
      <protection locked="0"/>
    </xf>
    <xf numFmtId="3" fontId="2" fillId="22" borderId="29" xfId="0" applyNumberFormat="1" applyFont="1" applyFill="1" applyBorder="1" applyAlignment="1" applyProtection="1">
      <alignment vertical="center"/>
      <protection locked="0"/>
    </xf>
    <xf numFmtId="3" fontId="2" fillId="23" borderId="29" xfId="0" applyNumberFormat="1" applyFont="1" applyFill="1" applyBorder="1" applyAlignment="1" applyProtection="1">
      <alignment horizontal="right" vertical="center"/>
      <protection locked="0"/>
    </xf>
    <xf numFmtId="3" fontId="2" fillId="23" borderId="29" xfId="0" applyNumberFormat="1" applyFont="1" applyFill="1" applyBorder="1" applyAlignment="1" applyProtection="1">
      <alignment vertical="center"/>
      <protection locked="0"/>
    </xf>
    <xf numFmtId="3" fontId="2" fillId="30" borderId="29" xfId="0" applyNumberFormat="1" applyFont="1" applyFill="1" applyBorder="1" applyAlignment="1" applyProtection="1">
      <alignment horizontal="right" vertical="center"/>
      <protection locked="0"/>
    </xf>
    <xf numFmtId="3" fontId="67" fillId="30" borderId="29" xfId="0" applyNumberFormat="1" applyFont="1" applyFill="1" applyBorder="1" applyAlignment="1" applyProtection="1">
      <alignment vertical="center"/>
      <protection locked="0"/>
    </xf>
    <xf numFmtId="9" fontId="2" fillId="22" borderId="10" xfId="0" applyNumberFormat="1" applyFont="1" applyFill="1" applyBorder="1" applyAlignment="1" applyProtection="1">
      <alignment vertical="center"/>
      <protection locked="0"/>
    </xf>
    <xf numFmtId="9" fontId="2" fillId="23" borderId="10" xfId="0" applyNumberFormat="1" applyFont="1" applyFill="1" applyBorder="1" applyAlignment="1" applyProtection="1">
      <alignment vertical="center"/>
      <protection locked="0"/>
    </xf>
    <xf numFmtId="9" fontId="2" fillId="30" borderId="10" xfId="0" applyNumberFormat="1" applyFont="1" applyFill="1" applyBorder="1" applyAlignment="1" applyProtection="1">
      <alignment vertical="center"/>
      <protection locked="0"/>
    </xf>
    <xf numFmtId="3" fontId="2" fillId="30" borderId="10" xfId="0" applyNumberFormat="1" applyFont="1" applyFill="1" applyBorder="1" applyAlignment="1" applyProtection="1">
      <alignment vertical="center"/>
      <protection locked="0"/>
    </xf>
    <xf numFmtId="3" fontId="21" fillId="25" borderId="0" xfId="28" applyNumberFormat="1" applyFont="1" applyFill="1" applyBorder="1" applyAlignment="1" applyProtection="1">
      <protection locked="0"/>
    </xf>
    <xf numFmtId="3" fontId="21" fillId="25" borderId="0" xfId="28" applyNumberFormat="1" applyFont="1" applyFill="1" applyBorder="1" applyProtection="1">
      <protection locked="0"/>
    </xf>
    <xf numFmtId="164" fontId="17" fillId="31" borderId="0" xfId="39" applyFont="1" applyFill="1" applyBorder="1" applyAlignment="1">
      <alignment horizontal="center" vertical="center"/>
    </xf>
    <xf numFmtId="164" fontId="33" fillId="0" borderId="0" xfId="0" applyNumberFormat="1" applyFont="1" applyAlignment="1">
      <alignment horizontal="center"/>
    </xf>
    <xf numFmtId="0" fontId="0" fillId="0" borderId="0" xfId="0" applyAlignment="1"/>
    <xf numFmtId="0" fontId="130" fillId="0" borderId="0" xfId="0" applyFont="1" applyAlignment="1">
      <alignment horizontal="center"/>
    </xf>
    <xf numFmtId="0" fontId="131" fillId="0" borderId="0" xfId="0" applyFont="1" applyAlignment="1">
      <alignment horizontal="center"/>
    </xf>
    <xf numFmtId="164" fontId="88" fillId="0" borderId="29" xfId="0" applyNumberFormat="1" applyFont="1" applyBorder="1" applyAlignment="1">
      <alignment horizontal="justify" vertical="center" wrapText="1"/>
    </xf>
    <xf numFmtId="0" fontId="88" fillId="0" borderId="46" xfId="0" applyFont="1" applyBorder="1" applyAlignment="1">
      <alignment horizontal="justify" vertical="center"/>
    </xf>
    <xf numFmtId="0" fontId="88" fillId="0" borderId="47" xfId="0" applyFont="1" applyBorder="1" applyAlignment="1">
      <alignment horizontal="justify" vertical="center"/>
    </xf>
    <xf numFmtId="0" fontId="89" fillId="0" borderId="29" xfId="0" applyFont="1" applyBorder="1" applyAlignment="1">
      <alignment horizontal="justify" vertical="center" wrapText="1"/>
    </xf>
    <xf numFmtId="0" fontId="89" fillId="0" borderId="46" xfId="0" applyFont="1" applyBorder="1" applyAlignment="1">
      <alignment horizontal="justify" vertical="center" wrapText="1"/>
    </xf>
    <xf numFmtId="0" fontId="89" fillId="0" borderId="47" xfId="0" applyFont="1" applyBorder="1" applyAlignment="1">
      <alignment horizontal="justify" vertical="center" wrapText="1"/>
    </xf>
    <xf numFmtId="0" fontId="63" fillId="0" borderId="29" xfId="0" applyFont="1" applyBorder="1" applyAlignment="1">
      <alignment horizontal="left" vertical="center" wrapText="1"/>
    </xf>
    <xf numFmtId="0" fontId="63" fillId="0" borderId="46" xfId="0" applyFont="1" applyBorder="1" applyAlignment="1">
      <alignment horizontal="left" vertical="center" wrapText="1"/>
    </xf>
    <xf numFmtId="0" fontId="63" fillId="0" borderId="47" xfId="0" applyFont="1" applyBorder="1" applyAlignment="1">
      <alignment horizontal="left" vertical="center" wrapText="1"/>
    </xf>
    <xf numFmtId="0" fontId="0" fillId="0" borderId="118" xfId="0" applyBorder="1" applyAlignment="1">
      <alignment horizontal="center"/>
    </xf>
    <xf numFmtId="0" fontId="0" fillId="0" borderId="118" xfId="0" applyBorder="1" applyAlignment="1">
      <alignment horizontal="center" wrapText="1"/>
    </xf>
    <xf numFmtId="0" fontId="88" fillId="0" borderId="46" xfId="0" applyFont="1" applyBorder="1" applyAlignment="1">
      <alignment horizontal="justify" vertical="center" wrapText="1"/>
    </xf>
    <xf numFmtId="0" fontId="88" fillId="0" borderId="47" xfId="0" applyFont="1" applyBorder="1" applyAlignment="1">
      <alignment horizontal="justify" vertical="center" wrapText="1"/>
    </xf>
    <xf numFmtId="164" fontId="17" fillId="32" borderId="0" xfId="47" applyFont="1" applyFill="1" applyAlignment="1" applyProtection="1">
      <alignment horizontal="center" vertical="center"/>
    </xf>
    <xf numFmtId="0" fontId="86" fillId="0" borderId="0" xfId="0" applyFont="1" applyAlignment="1">
      <alignment horizontal="center"/>
    </xf>
    <xf numFmtId="0" fontId="87" fillId="25" borderId="29" xfId="0" applyFont="1" applyFill="1" applyBorder="1" applyAlignment="1">
      <alignment horizontal="center"/>
    </xf>
    <xf numFmtId="0" fontId="87" fillId="25" borderId="46" xfId="0" applyFont="1" applyFill="1" applyBorder="1" applyAlignment="1">
      <alignment horizontal="center"/>
    </xf>
    <xf numFmtId="0" fontId="87" fillId="25" borderId="47" xfId="0" applyFont="1" applyFill="1" applyBorder="1" applyAlignment="1">
      <alignment horizontal="center"/>
    </xf>
    <xf numFmtId="9" fontId="89" fillId="0" borderId="29" xfId="56" applyFont="1" applyBorder="1" applyAlignment="1">
      <alignment horizontal="justify" vertical="center" wrapText="1"/>
    </xf>
    <xf numFmtId="9" fontId="89" fillId="0" borderId="46" xfId="56" applyFont="1" applyBorder="1" applyAlignment="1">
      <alignment horizontal="justify" vertical="center" wrapText="1"/>
    </xf>
    <xf numFmtId="9" fontId="89" fillId="0" borderId="47" xfId="56" applyFont="1" applyBorder="1" applyAlignment="1">
      <alignment horizontal="justify" vertical="center" wrapText="1"/>
    </xf>
    <xf numFmtId="164" fontId="88" fillId="0" borderId="29" xfId="0" applyNumberFormat="1" applyFont="1" applyBorder="1" applyAlignment="1">
      <alignment horizontal="left" vertical="center" wrapText="1"/>
    </xf>
    <xf numFmtId="0" fontId="88" fillId="0" borderId="46" xfId="0" applyFont="1" applyBorder="1" applyAlignment="1">
      <alignment horizontal="left" vertical="center" wrapText="1"/>
    </xf>
    <xf numFmtId="0" fontId="88" fillId="0" borderId="47" xfId="0" applyFont="1" applyBorder="1" applyAlignment="1">
      <alignment horizontal="left" vertical="center" wrapText="1"/>
    </xf>
    <xf numFmtId="0" fontId="88" fillId="0" borderId="46" xfId="0" applyFont="1" applyBorder="1" applyAlignment="1">
      <alignment horizontal="left" vertical="center"/>
    </xf>
    <xf numFmtId="0" fontId="88" fillId="0" borderId="47" xfId="0" applyFont="1" applyBorder="1" applyAlignment="1">
      <alignment horizontal="left" vertical="center"/>
    </xf>
    <xf numFmtId="0" fontId="0" fillId="0" borderId="0" xfId="0" applyBorder="1" applyAlignment="1">
      <alignment horizontal="center" wrapText="1"/>
    </xf>
    <xf numFmtId="0" fontId="87" fillId="24" borderId="29" xfId="0" applyFont="1" applyFill="1" applyBorder="1" applyAlignment="1">
      <alignment horizontal="center"/>
    </xf>
    <xf numFmtId="0" fontId="87" fillId="24" borderId="46" xfId="0" applyFont="1" applyFill="1" applyBorder="1" applyAlignment="1">
      <alignment horizontal="center"/>
    </xf>
    <xf numFmtId="0" fontId="87" fillId="24" borderId="47" xfId="0" applyFont="1" applyFill="1" applyBorder="1" applyAlignment="1">
      <alignment horizontal="center"/>
    </xf>
    <xf numFmtId="0" fontId="0" fillId="0" borderId="0" xfId="0" applyBorder="1" applyAlignment="1">
      <alignment horizontal="center"/>
    </xf>
    <xf numFmtId="0" fontId="0" fillId="0" borderId="29"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94" fillId="22" borderId="29" xfId="0" applyFont="1" applyFill="1" applyBorder="1" applyAlignment="1">
      <alignment horizontal="center" vertical="center" wrapText="1"/>
    </xf>
    <xf numFmtId="0" fontId="94" fillId="22" borderId="46" xfId="0" applyFont="1" applyFill="1" applyBorder="1" applyAlignment="1">
      <alignment horizontal="center" vertical="center"/>
    </xf>
    <xf numFmtId="0" fontId="94" fillId="22" borderId="47" xfId="0" applyFont="1" applyFill="1" applyBorder="1" applyAlignment="1">
      <alignment horizontal="center" vertical="center"/>
    </xf>
    <xf numFmtId="0" fontId="93" fillId="22" borderId="29" xfId="0" applyFont="1" applyFill="1" applyBorder="1" applyAlignment="1">
      <alignment horizontal="center" vertical="center"/>
    </xf>
    <xf numFmtId="0" fontId="93" fillId="22" borderId="46" xfId="0" applyFont="1" applyFill="1" applyBorder="1" applyAlignment="1">
      <alignment horizontal="center" vertical="center"/>
    </xf>
    <xf numFmtId="0" fontId="93" fillId="22" borderId="47" xfId="0" applyFont="1" applyFill="1" applyBorder="1" applyAlignment="1">
      <alignment horizontal="center" vertical="center"/>
    </xf>
    <xf numFmtId="0" fontId="24" fillId="0" borderId="29"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47" xfId="0" applyFont="1" applyBorder="1" applyAlignment="1">
      <alignment horizontal="center" vertical="center" wrapText="1"/>
    </xf>
    <xf numFmtId="0" fontId="93" fillId="22" borderId="29" xfId="0" applyFont="1" applyFill="1" applyBorder="1" applyAlignment="1">
      <alignment horizontal="center" wrapText="1"/>
    </xf>
    <xf numFmtId="0" fontId="93" fillId="22" borderId="46" xfId="0" applyFont="1" applyFill="1" applyBorder="1" applyAlignment="1">
      <alignment horizontal="center" wrapText="1"/>
    </xf>
    <xf numFmtId="0" fontId="93" fillId="22" borderId="47" xfId="0" applyFont="1" applyFill="1" applyBorder="1" applyAlignment="1">
      <alignment horizontal="center" wrapText="1"/>
    </xf>
    <xf numFmtId="0" fontId="93" fillId="22" borderId="29" xfId="0" applyFont="1" applyFill="1" applyBorder="1" applyAlignment="1">
      <alignment horizontal="center"/>
    </xf>
    <xf numFmtId="0" fontId="93" fillId="22" borderId="46" xfId="0" applyFont="1" applyFill="1" applyBorder="1" applyAlignment="1">
      <alignment horizontal="center"/>
    </xf>
    <xf numFmtId="0" fontId="93" fillId="22" borderId="47" xfId="0" applyFont="1" applyFill="1" applyBorder="1" applyAlignment="1">
      <alignment horizontal="center"/>
    </xf>
    <xf numFmtId="0" fontId="63" fillId="0" borderId="29" xfId="0" applyFont="1" applyBorder="1" applyAlignment="1" applyProtection="1">
      <alignment horizontal="left" vertical="center" wrapText="1"/>
      <protection locked="0"/>
    </xf>
    <xf numFmtId="0" fontId="63" fillId="0" borderId="46" xfId="0" applyFont="1" applyBorder="1" applyAlignment="1" applyProtection="1">
      <alignment horizontal="left" vertical="center" wrapText="1"/>
      <protection locked="0"/>
    </xf>
    <xf numFmtId="0" fontId="63" fillId="0" borderId="47" xfId="0" applyFont="1" applyBorder="1" applyAlignment="1" applyProtection="1">
      <alignment horizontal="left" vertical="center" wrapText="1"/>
      <protection locked="0"/>
    </xf>
    <xf numFmtId="0" fontId="63" fillId="0" borderId="117" xfId="0" applyFont="1" applyBorder="1" applyAlignment="1">
      <alignment horizontal="left" vertical="center" wrapText="1"/>
    </xf>
    <xf numFmtId="0" fontId="63" fillId="0" borderId="118" xfId="0" applyFont="1" applyBorder="1" applyAlignment="1">
      <alignment horizontal="left" vertical="center" wrapText="1"/>
    </xf>
    <xf numFmtId="0" fontId="63" fillId="0" borderId="119" xfId="0" applyFont="1" applyBorder="1" applyAlignment="1">
      <alignment horizontal="left" vertical="center" wrapText="1"/>
    </xf>
    <xf numFmtId="0" fontId="63" fillId="0" borderId="68" xfId="0" applyFont="1" applyBorder="1" applyAlignment="1">
      <alignment horizontal="left" vertical="center" wrapText="1"/>
    </xf>
    <xf numFmtId="0" fontId="63" fillId="0" borderId="110" xfId="0" applyFont="1" applyBorder="1" applyAlignment="1">
      <alignment horizontal="left" vertical="center" wrapText="1"/>
    </xf>
    <xf numFmtId="0" fontId="63" fillId="0" borderId="112" xfId="0" applyFont="1" applyBorder="1" applyAlignment="1">
      <alignment horizontal="left" vertical="center" wrapText="1"/>
    </xf>
    <xf numFmtId="0" fontId="63" fillId="0" borderId="117" xfId="0" applyFont="1" applyBorder="1" applyAlignment="1">
      <alignment horizontal="justify" wrapText="1"/>
    </xf>
    <xf numFmtId="0" fontId="63" fillId="0" borderId="118" xfId="0" applyFont="1" applyBorder="1" applyAlignment="1">
      <alignment horizontal="justify" wrapText="1"/>
    </xf>
    <xf numFmtId="0" fontId="63" fillId="0" borderId="119" xfId="0" applyFont="1" applyBorder="1" applyAlignment="1">
      <alignment horizontal="justify" wrapText="1"/>
    </xf>
    <xf numFmtId="0" fontId="89" fillId="0" borderId="68" xfId="0" applyFont="1" applyBorder="1" applyAlignment="1">
      <alignment horizontal="justify" vertical="center" wrapText="1"/>
    </xf>
    <xf numFmtId="0" fontId="89" fillId="0" borderId="110" xfId="0" applyFont="1" applyBorder="1" applyAlignment="1">
      <alignment horizontal="justify" vertical="center" wrapText="1"/>
    </xf>
    <xf numFmtId="0" fontId="89" fillId="0" borderId="112" xfId="0" applyFont="1" applyBorder="1" applyAlignment="1">
      <alignment horizontal="justify" vertical="center" wrapText="1"/>
    </xf>
    <xf numFmtId="0" fontId="89" fillId="0" borderId="46" xfId="0" applyFont="1" applyBorder="1" applyAlignment="1" applyProtection="1">
      <alignment horizontal="left" vertical="center" wrapText="1"/>
      <protection locked="0"/>
    </xf>
    <xf numFmtId="0" fontId="89" fillId="0" borderId="47" xfId="0" applyFont="1" applyBorder="1" applyAlignment="1" applyProtection="1">
      <alignment horizontal="left" vertical="center" wrapText="1"/>
      <protection locked="0"/>
    </xf>
    <xf numFmtId="0" fontId="63" fillId="0" borderId="29" xfId="0" applyFont="1" applyBorder="1" applyAlignment="1" applyProtection="1">
      <alignment horizontal="justify" vertical="center" wrapText="1"/>
      <protection locked="0"/>
    </xf>
    <xf numFmtId="0" fontId="89" fillId="0" borderId="46" xfId="0" applyFont="1" applyBorder="1" applyAlignment="1" applyProtection="1">
      <alignment horizontal="justify" vertical="center" wrapText="1"/>
      <protection locked="0"/>
    </xf>
    <xf numFmtId="0" fontId="89" fillId="0" borderId="47" xfId="0" applyFont="1" applyBorder="1" applyAlignment="1" applyProtection="1">
      <alignment horizontal="justify" vertical="center" wrapText="1"/>
      <protection locked="0"/>
    </xf>
    <xf numFmtId="0" fontId="123" fillId="0" borderId="68" xfId="0" applyFont="1" applyBorder="1" applyAlignment="1">
      <alignment horizontal="justify" vertical="center" wrapText="1"/>
    </xf>
    <xf numFmtId="0" fontId="123" fillId="0" borderId="110" xfId="0" applyFont="1" applyBorder="1" applyAlignment="1">
      <alignment horizontal="justify" vertical="center" wrapText="1"/>
    </xf>
    <xf numFmtId="0" fontId="123" fillId="0" borderId="112" xfId="0" applyFont="1" applyBorder="1" applyAlignment="1">
      <alignment horizontal="justify" vertical="center" wrapText="1"/>
    </xf>
    <xf numFmtId="0" fontId="123" fillId="0" borderId="29" xfId="0" applyFont="1" applyBorder="1" applyAlignment="1">
      <alignment horizontal="justify" vertical="center" wrapText="1"/>
    </xf>
    <xf numFmtId="0" fontId="123" fillId="0" borderId="46" xfId="0" applyFont="1" applyBorder="1" applyAlignment="1">
      <alignment horizontal="justify" vertical="center" wrapText="1"/>
    </xf>
    <xf numFmtId="0" fontId="123" fillId="0" borderId="47" xfId="0" applyFont="1" applyBorder="1" applyAlignment="1">
      <alignment horizontal="justify" vertical="center" wrapText="1"/>
    </xf>
    <xf numFmtId="0" fontId="123" fillId="0" borderId="29" xfId="0" applyFont="1" applyBorder="1" applyAlignment="1">
      <alignment horizontal="left" vertical="center" wrapText="1"/>
    </xf>
    <xf numFmtId="0" fontId="120" fillId="0" borderId="46" xfId="0" applyFont="1" applyBorder="1" applyAlignment="1">
      <alignment horizontal="left" vertical="center" wrapText="1"/>
    </xf>
    <xf numFmtId="0" fontId="120" fillId="0" borderId="47" xfId="0" applyFont="1" applyBorder="1" applyAlignment="1">
      <alignment horizontal="left" vertical="center" wrapText="1"/>
    </xf>
    <xf numFmtId="0" fontId="89" fillId="0" borderId="29" xfId="0" applyFont="1" applyBorder="1" applyAlignment="1" applyProtection="1">
      <alignment vertical="center" wrapText="1"/>
      <protection locked="0"/>
    </xf>
    <xf numFmtId="0" fontId="89" fillId="0" borderId="46" xfId="0" applyFont="1" applyBorder="1" applyAlignment="1" applyProtection="1">
      <alignment vertical="center" wrapText="1"/>
      <protection locked="0"/>
    </xf>
    <xf numFmtId="0" fontId="89" fillId="0" borderId="47" xfId="0" applyFont="1" applyBorder="1" applyAlignment="1" applyProtection="1">
      <alignment vertical="center" wrapText="1"/>
      <protection locked="0"/>
    </xf>
    <xf numFmtId="0" fontId="63" fillId="0" borderId="29" xfId="0" applyFont="1" applyBorder="1" applyAlignment="1">
      <alignment horizontal="justify" vertical="center" wrapText="1"/>
    </xf>
    <xf numFmtId="164" fontId="88" fillId="0" borderId="117" xfId="0" applyNumberFormat="1" applyFont="1" applyBorder="1" applyAlignment="1">
      <alignment horizontal="left" vertical="center" wrapText="1"/>
    </xf>
    <xf numFmtId="0" fontId="88" fillId="0" borderId="118" xfId="0" applyFont="1" applyBorder="1" applyAlignment="1">
      <alignment horizontal="left" vertical="center" wrapText="1"/>
    </xf>
    <xf numFmtId="0" fontId="88" fillId="0" borderId="119" xfId="0" applyFont="1" applyBorder="1" applyAlignment="1">
      <alignment horizontal="left" vertical="center" wrapText="1"/>
    </xf>
    <xf numFmtId="0" fontId="88" fillId="0" borderId="68" xfId="0" applyFont="1" applyBorder="1" applyAlignment="1">
      <alignment horizontal="left" vertical="center" wrapText="1"/>
    </xf>
    <xf numFmtId="0" fontId="88" fillId="0" borderId="110" xfId="0" applyFont="1" applyBorder="1" applyAlignment="1">
      <alignment horizontal="left" vertical="center" wrapText="1"/>
    </xf>
    <xf numFmtId="0" fontId="88" fillId="0" borderId="112" xfId="0" applyFont="1" applyBorder="1" applyAlignment="1">
      <alignment horizontal="left" vertical="center" wrapText="1"/>
    </xf>
    <xf numFmtId="0" fontId="63" fillId="0" borderId="46" xfId="0" applyFont="1" applyBorder="1" applyAlignment="1">
      <alignment horizontal="justify" vertical="center" wrapText="1"/>
    </xf>
    <xf numFmtId="0" fontId="63" fillId="0" borderId="47" xfId="0" applyFont="1" applyBorder="1" applyAlignment="1">
      <alignment horizontal="justify" vertical="center" wrapText="1"/>
    </xf>
    <xf numFmtId="0" fontId="89" fillId="22" borderId="29" xfId="0" applyFont="1" applyFill="1" applyBorder="1" applyAlignment="1">
      <alignment vertical="center" wrapText="1"/>
    </xf>
    <xf numFmtId="0" fontId="89" fillId="22" borderId="46" xfId="0" applyFont="1" applyFill="1" applyBorder="1" applyAlignment="1">
      <alignment vertical="center" wrapText="1"/>
    </xf>
    <xf numFmtId="0" fontId="89" fillId="22" borderId="47" xfId="0" applyFont="1" applyFill="1" applyBorder="1" applyAlignment="1">
      <alignment vertical="center" wrapText="1"/>
    </xf>
    <xf numFmtId="0" fontId="89" fillId="0" borderId="29" xfId="0" applyFont="1" applyFill="1" applyBorder="1" applyAlignment="1" applyProtection="1">
      <alignment vertical="center" wrapText="1"/>
      <protection locked="0"/>
    </xf>
    <xf numFmtId="0" fontId="89" fillId="0" borderId="46" xfId="0" applyFont="1" applyFill="1" applyBorder="1" applyAlignment="1" applyProtection="1">
      <alignment vertical="center" wrapText="1"/>
      <protection locked="0"/>
    </xf>
    <xf numFmtId="0" fontId="89" fillId="0" borderId="47" xfId="0" applyFont="1" applyFill="1" applyBorder="1" applyAlignment="1" applyProtection="1">
      <alignment vertical="center" wrapText="1"/>
      <protection locked="0"/>
    </xf>
    <xf numFmtId="0" fontId="63" fillId="0" borderId="29" xfId="0" applyNumberFormat="1" applyFont="1" applyBorder="1" applyAlignment="1" applyProtection="1">
      <alignment horizontal="left" vertical="center" wrapText="1"/>
      <protection locked="0"/>
    </xf>
    <xf numFmtId="0" fontId="63" fillId="0" borderId="46" xfId="0" applyNumberFormat="1" applyFont="1" applyBorder="1" applyAlignment="1" applyProtection="1">
      <alignment horizontal="left" vertical="center" wrapText="1"/>
      <protection locked="0"/>
    </xf>
    <xf numFmtId="0" fontId="63" fillId="0" borderId="47" xfId="0" applyNumberFormat="1" applyFont="1" applyBorder="1" applyAlignment="1" applyProtection="1">
      <alignment horizontal="left" vertical="center" wrapText="1"/>
      <protection locked="0"/>
    </xf>
    <xf numFmtId="0" fontId="98" fillId="0" borderId="29" xfId="0" applyFont="1" applyFill="1" applyBorder="1" applyAlignment="1" applyProtection="1">
      <alignment vertical="center" wrapText="1"/>
      <protection locked="0"/>
    </xf>
    <xf numFmtId="0" fontId="98" fillId="0" borderId="46" xfId="0" applyFont="1" applyFill="1" applyBorder="1" applyAlignment="1" applyProtection="1">
      <alignment vertical="center" wrapText="1"/>
      <protection locked="0"/>
    </xf>
    <xf numFmtId="0" fontId="98" fillId="0" borderId="47" xfId="0" applyFont="1" applyFill="1" applyBorder="1" applyAlignment="1" applyProtection="1">
      <alignment vertical="center" wrapText="1"/>
      <protection locked="0"/>
    </xf>
    <xf numFmtId="0" fontId="88" fillId="0" borderId="29" xfId="0" applyFont="1" applyBorder="1" applyAlignment="1" applyProtection="1">
      <alignment vertical="center" wrapText="1"/>
      <protection locked="0"/>
    </xf>
    <xf numFmtId="0" fontId="88" fillId="0" borderId="46" xfId="0" applyFont="1" applyBorder="1" applyAlignment="1" applyProtection="1">
      <alignment vertical="center" wrapText="1"/>
      <protection locked="0"/>
    </xf>
    <xf numFmtId="0" fontId="88" fillId="0" borderId="47" xfId="0" applyFont="1" applyBorder="1" applyAlignment="1" applyProtection="1">
      <alignment vertical="center" wrapText="1"/>
      <protection locked="0"/>
    </xf>
    <xf numFmtId="9" fontId="33" fillId="0" borderId="147" xfId="56" applyFont="1" applyFill="1" applyBorder="1" applyAlignment="1" applyProtection="1">
      <alignment horizontal="center" vertical="center"/>
    </xf>
    <xf numFmtId="9" fontId="33" fillId="0" borderId="148" xfId="56" applyFont="1" applyFill="1" applyBorder="1" applyAlignment="1" applyProtection="1">
      <alignment horizontal="center" vertical="center"/>
    </xf>
    <xf numFmtId="9" fontId="33" fillId="0" borderId="149" xfId="56" applyFont="1" applyFill="1" applyBorder="1" applyAlignment="1" applyProtection="1">
      <alignment horizontal="center" vertical="center"/>
    </xf>
    <xf numFmtId="0" fontId="67" fillId="22" borderId="130" xfId="0" applyNumberFormat="1" applyFont="1" applyFill="1" applyBorder="1" applyAlignment="1" applyProtection="1">
      <alignment horizontal="center" vertical="center" wrapText="1"/>
      <protection locked="0"/>
    </xf>
    <xf numFmtId="49" fontId="67" fillId="22" borderId="129" xfId="0" applyNumberFormat="1" applyFont="1" applyFill="1" applyBorder="1" applyAlignment="1" applyProtection="1">
      <alignment horizontal="center" vertical="center" wrapText="1"/>
      <protection locked="0"/>
    </xf>
    <xf numFmtId="49" fontId="67" fillId="22" borderId="124" xfId="0" applyNumberFormat="1" applyFont="1" applyFill="1" applyBorder="1" applyAlignment="1" applyProtection="1">
      <alignment horizontal="center" vertical="center" wrapText="1"/>
      <protection locked="0"/>
    </xf>
    <xf numFmtId="49" fontId="2" fillId="23" borderId="129" xfId="0" applyNumberFormat="1" applyFont="1" applyFill="1" applyBorder="1" applyAlignment="1" applyProtection="1">
      <alignment horizontal="center" vertical="center" wrapText="1"/>
      <protection locked="0"/>
    </xf>
    <xf numFmtId="49" fontId="67" fillId="23" borderId="124" xfId="0" applyNumberFormat="1" applyFont="1" applyFill="1" applyBorder="1" applyAlignment="1" applyProtection="1">
      <alignment horizontal="center" vertical="center" wrapText="1"/>
      <protection locked="0"/>
    </xf>
    <xf numFmtId="0" fontId="67" fillId="23" borderId="130" xfId="0" applyNumberFormat="1" applyFont="1" applyFill="1" applyBorder="1" applyAlignment="1" applyProtection="1">
      <alignment horizontal="center" vertical="center" wrapText="1"/>
      <protection locked="0"/>
    </xf>
    <xf numFmtId="0" fontId="0" fillId="35" borderId="150" xfId="0" applyFill="1" applyBorder="1" applyAlignment="1" applyProtection="1">
      <alignment horizontal="center"/>
    </xf>
    <xf numFmtId="0" fontId="0" fillId="35" borderId="151" xfId="0" applyFill="1" applyBorder="1" applyAlignment="1" applyProtection="1">
      <alignment horizontal="center"/>
    </xf>
    <xf numFmtId="0" fontId="0" fillId="35" borderId="152" xfId="0" applyFill="1" applyBorder="1" applyAlignment="1" applyProtection="1">
      <alignment horizontal="center"/>
    </xf>
    <xf numFmtId="0" fontId="67" fillId="0" borderId="109" xfId="0" applyFont="1" applyFill="1" applyBorder="1" applyAlignment="1" applyProtection="1">
      <alignment horizontal="left" vertical="center" wrapText="1"/>
    </xf>
    <xf numFmtId="0" fontId="67" fillId="0" borderId="110" xfId="0" applyFont="1" applyFill="1" applyBorder="1" applyAlignment="1" applyProtection="1">
      <alignment horizontal="left" vertical="center" wrapText="1"/>
    </xf>
    <xf numFmtId="0" fontId="67" fillId="0" borderId="114" xfId="0" applyFont="1" applyFill="1" applyBorder="1" applyAlignment="1" applyProtection="1">
      <alignment horizontal="left" vertical="center" wrapText="1"/>
    </xf>
    <xf numFmtId="0" fontId="67" fillId="0" borderId="142" xfId="0" applyFont="1" applyFill="1" applyBorder="1" applyAlignment="1" applyProtection="1">
      <alignment horizontal="left" vertical="center" wrapText="1"/>
    </xf>
    <xf numFmtId="0" fontId="67" fillId="0" borderId="143" xfId="0" applyFont="1" applyFill="1" applyBorder="1" applyAlignment="1" applyProtection="1">
      <alignment horizontal="left" vertical="center" wrapText="1"/>
    </xf>
    <xf numFmtId="0" fontId="67" fillId="0" borderId="144" xfId="0" applyFont="1" applyFill="1" applyBorder="1" applyAlignment="1" applyProtection="1">
      <alignment horizontal="left" vertical="center" wrapText="1"/>
    </xf>
    <xf numFmtId="49" fontId="67" fillId="23" borderId="125" xfId="0" applyNumberFormat="1" applyFont="1" applyFill="1" applyBorder="1" applyAlignment="1" applyProtection="1">
      <alignment horizontal="left" vertical="center" wrapText="1"/>
      <protection locked="0"/>
    </xf>
    <xf numFmtId="49" fontId="67" fillId="23" borderId="10" xfId="0" applyNumberFormat="1" applyFont="1" applyFill="1" applyBorder="1" applyAlignment="1" applyProtection="1">
      <alignment horizontal="left" vertical="center" wrapText="1"/>
      <protection locked="0"/>
    </xf>
    <xf numFmtId="49" fontId="67" fillId="23" borderId="29" xfId="0" applyNumberFormat="1" applyFont="1" applyFill="1" applyBorder="1" applyAlignment="1" applyProtection="1">
      <alignment horizontal="left" vertical="center" wrapText="1"/>
      <protection locked="0"/>
    </xf>
    <xf numFmtId="49" fontId="67" fillId="23" borderId="145" xfId="0" applyNumberFormat="1" applyFont="1" applyFill="1" applyBorder="1" applyAlignment="1" applyProtection="1">
      <alignment horizontal="left" vertical="center" wrapText="1"/>
      <protection locked="0"/>
    </xf>
    <xf numFmtId="49" fontId="67" fillId="23" borderId="98" xfId="0" applyNumberFormat="1" applyFont="1" applyFill="1" applyBorder="1" applyAlignment="1" applyProtection="1">
      <alignment horizontal="left" vertical="center" wrapText="1"/>
      <protection locked="0"/>
    </xf>
    <xf numFmtId="49" fontId="67" fillId="23" borderId="30" xfId="0" applyNumberFormat="1" applyFont="1" applyFill="1" applyBorder="1" applyAlignment="1" applyProtection="1">
      <alignment horizontal="left" vertical="center" wrapText="1"/>
      <protection locked="0"/>
    </xf>
    <xf numFmtId="0" fontId="67" fillId="28" borderId="130" xfId="0" applyFont="1" applyFill="1" applyBorder="1" applyAlignment="1" applyProtection="1">
      <alignment horizontal="center" vertical="center" wrapText="1"/>
    </xf>
    <xf numFmtId="0" fontId="67" fillId="28" borderId="47" xfId="0" applyFont="1" applyFill="1" applyBorder="1" applyAlignment="1" applyProtection="1">
      <alignment horizontal="center" vertical="center" wrapText="1"/>
    </xf>
    <xf numFmtId="0" fontId="67" fillId="0" borderId="130" xfId="0" applyFont="1" applyFill="1" applyBorder="1" applyAlignment="1" applyProtection="1">
      <alignment horizontal="center" vertical="center" wrapText="1"/>
    </xf>
    <xf numFmtId="0" fontId="67" fillId="0" borderId="14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153" xfId="0" applyFont="1" applyFill="1" applyBorder="1" applyAlignment="1" applyProtection="1">
      <alignment horizontal="center" vertical="center" wrapText="1"/>
    </xf>
    <xf numFmtId="0" fontId="67" fillId="22" borderId="47" xfId="0" applyNumberFormat="1" applyFont="1" applyFill="1" applyBorder="1" applyAlignment="1" applyProtection="1">
      <alignment horizontal="center" vertical="center" wrapText="1"/>
      <protection locked="0"/>
    </xf>
    <xf numFmtId="0" fontId="67" fillId="23" borderId="146" xfId="0" applyNumberFormat="1" applyFont="1" applyFill="1" applyBorder="1" applyAlignment="1" applyProtection="1">
      <alignment horizontal="center" vertical="center" wrapText="1"/>
      <protection locked="0"/>
    </xf>
    <xf numFmtId="49" fontId="67" fillId="23" borderId="47" xfId="0" applyNumberFormat="1" applyFont="1" applyFill="1" applyBorder="1" applyAlignment="1" applyProtection="1">
      <alignment horizontal="center" vertical="center" wrapText="1"/>
      <protection locked="0"/>
    </xf>
    <xf numFmtId="49" fontId="67" fillId="23" borderId="153" xfId="0" applyNumberFormat="1" applyFont="1" applyFill="1" applyBorder="1" applyAlignment="1" applyProtection="1">
      <alignment horizontal="center" vertical="center" wrapText="1"/>
      <protection locked="0"/>
    </xf>
    <xf numFmtId="49" fontId="67" fillId="33" borderId="125" xfId="0" applyNumberFormat="1" applyFont="1" applyFill="1" applyBorder="1" applyAlignment="1" applyProtection="1">
      <alignment horizontal="left" vertical="center" wrapText="1"/>
      <protection locked="0"/>
    </xf>
    <xf numFmtId="49" fontId="67" fillId="33" borderId="10" xfId="0" applyNumberFormat="1" applyFont="1" applyFill="1" applyBorder="1" applyAlignment="1" applyProtection="1">
      <alignment horizontal="left" vertical="center" wrapText="1"/>
      <protection locked="0"/>
    </xf>
    <xf numFmtId="49" fontId="67" fillId="33" borderId="29" xfId="0" applyNumberFormat="1" applyFont="1" applyFill="1" applyBorder="1" applyAlignment="1" applyProtection="1">
      <alignment horizontal="left" vertical="center" wrapText="1"/>
      <protection locked="0"/>
    </xf>
    <xf numFmtId="164" fontId="15" fillId="34" borderId="10" xfId="58" applyFont="1" applyFill="1" applyBorder="1" applyAlignment="1" applyProtection="1">
      <alignment horizontal="center"/>
      <protection locked="0"/>
    </xf>
    <xf numFmtId="49" fontId="0" fillId="0" borderId="10" xfId="0" applyNumberFormat="1" applyBorder="1" applyAlignment="1" applyProtection="1">
      <alignment horizontal="center"/>
      <protection locked="0"/>
    </xf>
    <xf numFmtId="0" fontId="0" fillId="0" borderId="137" xfId="0" applyBorder="1" applyAlignment="1" applyProtection="1">
      <alignment horizontal="center"/>
    </xf>
    <xf numFmtId="0" fontId="0" fillId="0" borderId="21" xfId="0" applyBorder="1" applyAlignment="1" applyProtection="1">
      <alignment horizontal="center"/>
    </xf>
    <xf numFmtId="0" fontId="84" fillId="0" borderId="138" xfId="0" applyFont="1" applyBorder="1" applyAlignment="1" applyProtection="1">
      <alignment horizontal="right"/>
    </xf>
    <xf numFmtId="0" fontId="124" fillId="0" borderId="138" xfId="0" applyFont="1" applyBorder="1" applyAlignment="1"/>
    <xf numFmtId="0" fontId="0" fillId="0" borderId="139" xfId="0" applyFill="1" applyBorder="1" applyAlignment="1" applyProtection="1">
      <alignment horizontal="center" vertical="center"/>
      <protection locked="0"/>
    </xf>
    <xf numFmtId="0" fontId="0" fillId="0" borderId="140" xfId="0" applyFill="1" applyBorder="1" applyAlignment="1" applyProtection="1">
      <alignment horizontal="center" vertical="center"/>
      <protection locked="0"/>
    </xf>
    <xf numFmtId="0" fontId="0" fillId="0" borderId="141" xfId="0" applyFill="1" applyBorder="1" applyAlignment="1" applyProtection="1">
      <alignment horizontal="center" vertical="center"/>
      <protection locked="0"/>
    </xf>
    <xf numFmtId="49" fontId="67" fillId="23" borderId="129" xfId="0" applyNumberFormat="1" applyFont="1" applyFill="1" applyBorder="1" applyAlignment="1" applyProtection="1">
      <alignment horizontal="center" vertical="center" wrapText="1"/>
      <protection locked="0"/>
    </xf>
    <xf numFmtId="49" fontId="67" fillId="22" borderId="47" xfId="0" applyNumberFormat="1" applyFont="1" applyFill="1" applyBorder="1" applyAlignment="1" applyProtection="1">
      <alignment horizontal="center" vertical="center" wrapText="1"/>
      <protection locked="0"/>
    </xf>
    <xf numFmtId="0" fontId="67" fillId="0" borderId="131" xfId="0" applyFont="1" applyFill="1" applyBorder="1" applyAlignment="1" applyProtection="1">
      <alignment horizontal="left" vertical="center" wrapText="1"/>
    </xf>
    <xf numFmtId="0" fontId="67" fillId="0" borderId="132" xfId="0" applyFont="1" applyFill="1" applyBorder="1" applyAlignment="1" applyProtection="1">
      <alignment horizontal="left" vertical="center" wrapText="1"/>
    </xf>
    <xf numFmtId="0" fontId="67" fillId="0" borderId="133" xfId="0" applyFont="1" applyFill="1" applyBorder="1" applyAlignment="1" applyProtection="1">
      <alignment horizontal="left" vertical="center" wrapText="1"/>
    </xf>
    <xf numFmtId="0" fontId="67" fillId="0" borderId="135" xfId="0" applyFont="1" applyFill="1" applyBorder="1" applyAlignment="1" applyProtection="1">
      <alignment horizontal="left" vertical="center" wrapText="1"/>
    </xf>
    <xf numFmtId="0" fontId="67" fillId="0" borderId="46" xfId="0" applyFont="1" applyFill="1" applyBorder="1" applyAlignment="1" applyProtection="1">
      <alignment horizontal="left" vertical="center" wrapText="1"/>
    </xf>
    <xf numFmtId="0" fontId="67" fillId="0" borderId="136" xfId="0" applyFont="1" applyFill="1" applyBorder="1" applyAlignment="1" applyProtection="1">
      <alignment horizontal="left" vertical="center" wrapText="1"/>
    </xf>
    <xf numFmtId="0" fontId="67" fillId="28" borderId="135" xfId="0" applyFont="1" applyFill="1" applyBorder="1" applyAlignment="1" applyProtection="1">
      <alignment horizontal="left" vertical="center" wrapText="1"/>
    </xf>
    <xf numFmtId="0" fontId="67" fillId="28" borderId="46" xfId="0" applyFont="1" applyFill="1" applyBorder="1" applyAlignment="1" applyProtection="1">
      <alignment horizontal="left" vertical="center" wrapText="1"/>
    </xf>
    <xf numFmtId="0" fontId="67" fillId="28" borderId="136" xfId="0" applyFont="1" applyFill="1" applyBorder="1" applyAlignment="1" applyProtection="1">
      <alignment horizontal="left" vertical="center" wrapText="1"/>
    </xf>
    <xf numFmtId="164" fontId="61" fillId="32" borderId="0" xfId="39" applyFont="1" applyFill="1" applyAlignment="1" applyProtection="1">
      <alignment horizontal="center" vertical="center"/>
    </xf>
    <xf numFmtId="3" fontId="0" fillId="0" borderId="29" xfId="0" applyNumberFormat="1" applyBorder="1" applyAlignment="1" applyProtection="1">
      <alignment horizontal="center"/>
      <protection locked="0"/>
    </xf>
    <xf numFmtId="3" fontId="0" fillId="0" borderId="47" xfId="0" applyNumberFormat="1" applyBorder="1" applyAlignment="1" applyProtection="1">
      <alignment horizontal="center"/>
      <protection locked="0"/>
    </xf>
    <xf numFmtId="49" fontId="1" fillId="0" borderId="10" xfId="0" applyNumberFormat="1" applyFont="1" applyBorder="1" applyAlignment="1" applyProtection="1">
      <alignment horizontal="center"/>
      <protection locked="0"/>
    </xf>
    <xf numFmtId="49" fontId="0" fillId="0" borderId="29" xfId="0" applyNumberFormat="1" applyBorder="1" applyAlignment="1" applyProtection="1">
      <alignment horizontal="center"/>
      <protection locked="0"/>
    </xf>
    <xf numFmtId="49" fontId="0" fillId="0" borderId="46" xfId="0" applyNumberFormat="1" applyBorder="1" applyAlignment="1" applyProtection="1">
      <alignment horizontal="center"/>
      <protection locked="0"/>
    </xf>
    <xf numFmtId="49" fontId="0" fillId="0" borderId="47" xfId="0" applyNumberFormat="1" applyBorder="1" applyAlignment="1" applyProtection="1">
      <alignment horizontal="center"/>
      <protection locked="0"/>
    </xf>
    <xf numFmtId="0" fontId="115" fillId="0" borderId="0" xfId="0" applyFont="1" applyBorder="1" applyAlignment="1" applyProtection="1">
      <alignment horizontal="right"/>
    </xf>
    <xf numFmtId="0" fontId="115" fillId="0" borderId="134" xfId="0" applyFont="1" applyBorder="1" applyAlignment="1" applyProtection="1">
      <alignment horizontal="right"/>
    </xf>
    <xf numFmtId="0" fontId="115" fillId="0" borderId="52" xfId="0" applyFont="1" applyBorder="1" applyAlignment="1" applyProtection="1">
      <alignment horizontal="right"/>
    </xf>
    <xf numFmtId="15" fontId="128" fillId="0" borderId="10" xfId="58" applyNumberFormat="1" applyFont="1" applyFill="1" applyBorder="1" applyAlignment="1" applyProtection="1">
      <alignment horizontal="center"/>
      <protection locked="0"/>
    </xf>
    <xf numFmtId="15" fontId="132" fillId="0" borderId="10" xfId="58" applyNumberFormat="1" applyFill="1" applyBorder="1" applyAlignment="1" applyProtection="1">
      <alignment horizontal="center"/>
      <protection locked="0"/>
    </xf>
    <xf numFmtId="0" fontId="115" fillId="0" borderId="0" xfId="0" applyFont="1" applyAlignment="1" applyProtection="1">
      <alignment horizontal="right"/>
    </xf>
    <xf numFmtId="49" fontId="0" fillId="0" borderId="29" xfId="0" applyNumberFormat="1" applyBorder="1" applyAlignment="1" applyProtection="1">
      <alignment horizontal="left"/>
      <protection locked="0"/>
    </xf>
    <xf numFmtId="49" fontId="0" fillId="0" borderId="46" xfId="0" applyNumberFormat="1" applyBorder="1" applyAlignment="1" applyProtection="1">
      <alignment horizontal="left"/>
      <protection locked="0"/>
    </xf>
    <xf numFmtId="49" fontId="0" fillId="0" borderId="47" xfId="0" applyNumberFormat="1" applyBorder="1" applyAlignment="1" applyProtection="1">
      <alignment horizontal="left"/>
      <protection locked="0"/>
    </xf>
    <xf numFmtId="49" fontId="14" fillId="0" borderId="23" xfId="0" applyNumberFormat="1" applyFont="1" applyBorder="1" applyAlignment="1" applyProtection="1">
      <alignment horizontal="center"/>
    </xf>
    <xf numFmtId="49" fontId="14" fillId="0" borderId="10" xfId="0" applyNumberFormat="1" applyFont="1" applyBorder="1" applyAlignment="1" applyProtection="1">
      <alignment horizontal="center"/>
    </xf>
    <xf numFmtId="0" fontId="0" fillId="19" borderId="120" xfId="0" applyFill="1" applyBorder="1" applyAlignment="1" applyProtection="1">
      <alignment horizontal="center" vertical="center" textRotation="90"/>
    </xf>
    <xf numFmtId="164" fontId="14" fillId="0" borderId="121" xfId="0" applyNumberFormat="1" applyFont="1" applyBorder="1" applyAlignment="1" applyProtection="1">
      <alignment horizontal="center"/>
    </xf>
    <xf numFmtId="0" fontId="14" fillId="0" borderId="122" xfId="0" applyFont="1" applyBorder="1" applyAlignment="1" applyProtection="1">
      <alignment horizontal="center"/>
    </xf>
    <xf numFmtId="0" fontId="14" fillId="0" borderId="123" xfId="0" applyFont="1" applyBorder="1" applyAlignment="1" applyProtection="1">
      <alignment horizontal="center"/>
    </xf>
    <xf numFmtId="49" fontId="67" fillId="22" borderId="124" xfId="0" applyNumberFormat="1" applyFont="1" applyFill="1" applyBorder="1" applyAlignment="1" applyProtection="1">
      <alignment horizontal="left" vertical="center" wrapText="1"/>
      <protection locked="0"/>
    </xf>
    <xf numFmtId="49" fontId="67" fillId="22" borderId="113" xfId="0" applyNumberFormat="1" applyFont="1" applyFill="1" applyBorder="1" applyAlignment="1" applyProtection="1">
      <alignment horizontal="left" vertical="center" wrapText="1"/>
      <protection locked="0"/>
    </xf>
    <xf numFmtId="49" fontId="67" fillId="22" borderId="68" xfId="0" applyNumberFormat="1" applyFont="1" applyFill="1" applyBorder="1" applyAlignment="1" applyProtection="1">
      <alignment horizontal="left" vertical="center" wrapText="1"/>
      <protection locked="0"/>
    </xf>
    <xf numFmtId="49" fontId="67" fillId="22" borderId="125" xfId="0" applyNumberFormat="1" applyFont="1" applyFill="1" applyBorder="1" applyAlignment="1" applyProtection="1">
      <alignment horizontal="left" vertical="center" wrapText="1"/>
      <protection locked="0"/>
    </xf>
    <xf numFmtId="49" fontId="67" fillId="22" borderId="10" xfId="0" applyNumberFormat="1" applyFont="1" applyFill="1" applyBorder="1" applyAlignment="1" applyProtection="1">
      <alignment horizontal="left" vertical="center" wrapText="1"/>
      <protection locked="0"/>
    </xf>
    <xf numFmtId="49" fontId="67" fillId="22" borderId="29" xfId="0" applyNumberFormat="1" applyFont="1" applyFill="1" applyBorder="1" applyAlignment="1" applyProtection="1">
      <alignment horizontal="left" vertical="center" wrapText="1"/>
      <protection locked="0"/>
    </xf>
    <xf numFmtId="0" fontId="26" fillId="0" borderId="126" xfId="0" applyFont="1" applyBorder="1" applyAlignment="1" applyProtection="1">
      <alignment horizontal="center" wrapText="1"/>
    </xf>
    <xf numFmtId="0" fontId="26" fillId="0" borderId="127" xfId="0" applyFont="1" applyBorder="1" applyAlignment="1" applyProtection="1">
      <alignment horizontal="center" wrapText="1"/>
    </xf>
    <xf numFmtId="0" fontId="26" fillId="0" borderId="128" xfId="0" applyFont="1" applyBorder="1" applyAlignment="1" applyProtection="1">
      <alignment horizontal="center" wrapText="1"/>
    </xf>
    <xf numFmtId="49" fontId="14" fillId="0" borderId="25" xfId="0" applyNumberFormat="1" applyFont="1" applyBorder="1" applyAlignment="1" applyProtection="1">
      <alignment horizontal="center"/>
    </xf>
    <xf numFmtId="49" fontId="14" fillId="0" borderId="49" xfId="0" applyNumberFormat="1" applyFont="1" applyBorder="1" applyAlignment="1" applyProtection="1">
      <alignment horizontal="center"/>
    </xf>
    <xf numFmtId="0" fontId="77" fillId="0" borderId="131" xfId="0" applyFont="1" applyFill="1" applyBorder="1" applyAlignment="1" applyProtection="1">
      <alignment horizontal="center" vertical="center"/>
    </xf>
    <xf numFmtId="0" fontId="77" fillId="0" borderId="132" xfId="0" applyFont="1" applyFill="1" applyBorder="1" applyAlignment="1" applyProtection="1">
      <alignment horizontal="center" vertical="center"/>
    </xf>
    <xf numFmtId="0" fontId="77" fillId="0" borderId="133" xfId="0" applyFont="1" applyFill="1" applyBorder="1" applyAlignment="1" applyProtection="1">
      <alignment horizontal="center" vertical="center"/>
    </xf>
    <xf numFmtId="0" fontId="0" fillId="22" borderId="29" xfId="0" applyFill="1" applyBorder="1" applyAlignment="1" applyProtection="1">
      <alignment horizontal="center"/>
    </xf>
    <xf numFmtId="0" fontId="0" fillId="22" borderId="47" xfId="0" applyFill="1" applyBorder="1" applyAlignment="1" applyProtection="1">
      <alignment horizontal="center"/>
    </xf>
    <xf numFmtId="164" fontId="24" fillId="24" borderId="43" xfId="58" applyFont="1" applyFill="1" applyBorder="1" applyAlignment="1" applyProtection="1">
      <alignment horizontal="center"/>
    </xf>
    <xf numFmtId="164" fontId="1" fillId="0" borderId="43" xfId="58" applyFont="1" applyFill="1" applyBorder="1" applyAlignment="1" applyProtection="1">
      <alignment horizontal="right"/>
    </xf>
    <xf numFmtId="164" fontId="118" fillId="31" borderId="43" xfId="58" applyFont="1" applyFill="1" applyBorder="1" applyAlignment="1" applyProtection="1">
      <alignment horizontal="center"/>
    </xf>
    <xf numFmtId="15" fontId="24" fillId="24" borderId="43" xfId="58" applyNumberFormat="1" applyFont="1" applyFill="1" applyBorder="1" applyAlignment="1" applyProtection="1">
      <alignment horizontal="center"/>
    </xf>
    <xf numFmtId="0" fontId="0" fillId="0" borderId="43" xfId="0" applyBorder="1" applyAlignment="1"/>
    <xf numFmtId="164" fontId="106" fillId="32" borderId="0" xfId="39" applyFont="1" applyFill="1" applyAlignment="1" applyProtection="1">
      <alignment horizontal="center" vertical="center"/>
    </xf>
    <xf numFmtId="164" fontId="33" fillId="24" borderId="0" xfId="50" applyFont="1" applyFill="1" applyAlignment="1" applyProtection="1">
      <alignment horizontal="center" vertical="center" wrapText="1"/>
    </xf>
    <xf numFmtId="173" fontId="24" fillId="24" borderId="43" xfId="58" applyNumberFormat="1" applyFont="1" applyFill="1" applyBorder="1" applyAlignment="1" applyProtection="1">
      <alignment horizontal="center" vertical="center"/>
    </xf>
    <xf numFmtId="164" fontId="1" fillId="0" borderId="43" xfId="58" applyFont="1" applyBorder="1" applyAlignment="1" applyProtection="1">
      <alignment horizontal="right"/>
    </xf>
    <xf numFmtId="164" fontId="20" fillId="0" borderId="0" xfId="50" applyFont="1" applyFill="1" applyAlignment="1" applyProtection="1">
      <alignment horizontal="right" vertical="center"/>
    </xf>
    <xf numFmtId="164" fontId="24" fillId="24" borderId="0" xfId="50" applyFont="1" applyFill="1" applyAlignment="1" applyProtection="1">
      <alignment horizontal="center" vertical="center" wrapText="1"/>
    </xf>
    <xf numFmtId="0" fontId="119" fillId="0" borderId="155" xfId="0" applyFont="1" applyFill="1" applyBorder="1" applyAlignment="1" applyProtection="1">
      <alignment horizontal="left" wrapText="1"/>
    </xf>
    <xf numFmtId="0" fontId="119" fillId="0" borderId="99" xfId="0" applyFont="1" applyFill="1" applyBorder="1" applyAlignment="1" applyProtection="1">
      <alignment horizontal="left" wrapText="1"/>
    </xf>
    <xf numFmtId="0" fontId="119" fillId="0" borderId="156" xfId="0" applyFont="1" applyFill="1" applyBorder="1" applyAlignment="1" applyProtection="1">
      <alignment horizontal="left" wrapText="1"/>
    </xf>
    <xf numFmtId="0" fontId="119" fillId="0" borderId="157" xfId="0" applyFont="1" applyFill="1" applyBorder="1" applyAlignment="1" applyProtection="1">
      <alignment horizontal="left" wrapText="1"/>
    </xf>
    <xf numFmtId="164" fontId="14" fillId="0" borderId="0" xfId="0" applyNumberFormat="1" applyFont="1" applyAlignment="1" applyProtection="1">
      <alignment horizontal="center" wrapText="1"/>
    </xf>
    <xf numFmtId="164" fontId="28" fillId="0" borderId="0" xfId="0" applyNumberFormat="1" applyFont="1" applyAlignment="1" applyProtection="1">
      <alignment horizontal="right"/>
    </xf>
    <xf numFmtId="15" fontId="28" fillId="0" borderId="0" xfId="0" applyNumberFormat="1" applyFont="1" applyAlignment="1" applyProtection="1">
      <alignment horizontal="right"/>
    </xf>
    <xf numFmtId="164" fontId="14" fillId="0" borderId="0" xfId="0" applyNumberFormat="1" applyFont="1" applyAlignment="1" applyProtection="1">
      <alignment horizontal="center"/>
    </xf>
    <xf numFmtId="164" fontId="28" fillId="0" borderId="0" xfId="0" applyNumberFormat="1" applyFont="1" applyAlignment="1" applyProtection="1">
      <alignment horizontal="left"/>
    </xf>
    <xf numFmtId="164" fontId="15" fillId="31" borderId="0" xfId="58" applyFont="1" applyFill="1" applyBorder="1" applyAlignment="1" applyProtection="1">
      <alignment horizontal="center"/>
    </xf>
    <xf numFmtId="0" fontId="112" fillId="0" borderId="0" xfId="0" applyFont="1" applyAlignment="1" applyProtection="1">
      <alignment horizontal="center"/>
    </xf>
    <xf numFmtId="164" fontId="111" fillId="0" borderId="150" xfId="0" applyNumberFormat="1" applyFont="1" applyBorder="1" applyAlignment="1" applyProtection="1">
      <alignment horizontal="center" vertical="center" wrapText="1"/>
    </xf>
    <xf numFmtId="164" fontId="111" fillId="0" borderId="151" xfId="0" applyNumberFormat="1" applyFont="1" applyBorder="1" applyAlignment="1" applyProtection="1">
      <alignment horizontal="center" vertical="center" wrapText="1"/>
    </xf>
    <xf numFmtId="164" fontId="111" fillId="0" borderId="152" xfId="0" applyNumberFormat="1" applyFont="1" applyBorder="1" applyAlignment="1" applyProtection="1">
      <alignment horizontal="center" vertical="center" wrapText="1"/>
    </xf>
    <xf numFmtId="0" fontId="0" fillId="0" borderId="154" xfId="0" applyBorder="1" applyAlignment="1" applyProtection="1">
      <alignment horizontal="center"/>
    </xf>
    <xf numFmtId="0" fontId="0" fillId="0" borderId="66" xfId="0" applyBorder="1" applyAlignment="1" applyProtection="1">
      <alignment horizontal="center"/>
    </xf>
    <xf numFmtId="0" fontId="30" fillId="22" borderId="29" xfId="0" applyFont="1" applyFill="1" applyBorder="1" applyAlignment="1" applyProtection="1">
      <alignment horizontal="left" wrapText="1"/>
      <protection locked="0"/>
    </xf>
    <xf numFmtId="0" fontId="0" fillId="0" borderId="46" xfId="0" applyBorder="1" applyAlignment="1" applyProtection="1">
      <alignment horizontal="left" wrapText="1"/>
      <protection locked="0"/>
    </xf>
    <xf numFmtId="0" fontId="0" fillId="0" borderId="47" xfId="0" applyBorder="1" applyAlignment="1" applyProtection="1">
      <alignment horizontal="left" wrapText="1"/>
      <protection locked="0"/>
    </xf>
    <xf numFmtId="0" fontId="34" fillId="22" borderId="29" xfId="0" applyFont="1" applyFill="1" applyBorder="1" applyAlignment="1" applyProtection="1">
      <alignment horizontal="left" wrapText="1"/>
      <protection locked="0"/>
    </xf>
    <xf numFmtId="0" fontId="34" fillId="22" borderId="46" xfId="0" applyFont="1" applyFill="1" applyBorder="1" applyAlignment="1" applyProtection="1">
      <alignment horizontal="left" wrapText="1"/>
      <protection locked="0"/>
    </xf>
    <xf numFmtId="0" fontId="34" fillId="22" borderId="47" xfId="0" applyFont="1" applyFill="1" applyBorder="1" applyAlignment="1" applyProtection="1">
      <alignment horizontal="left" wrapText="1"/>
      <protection locked="0"/>
    </xf>
    <xf numFmtId="0" fontId="134" fillId="22" borderId="29" xfId="0" applyFont="1" applyFill="1" applyBorder="1" applyAlignment="1" applyProtection="1">
      <alignment horizontal="left" wrapText="1"/>
      <protection locked="0"/>
    </xf>
    <xf numFmtId="0" fontId="133" fillId="0" borderId="46" xfId="0" applyFont="1" applyBorder="1" applyAlignment="1">
      <alignment horizontal="left" wrapText="1"/>
    </xf>
    <xf numFmtId="0" fontId="133" fillId="0" borderId="47" xfId="0" applyFont="1" applyBorder="1" applyAlignment="1">
      <alignment horizontal="left" wrapText="1"/>
    </xf>
    <xf numFmtId="0" fontId="134" fillId="22" borderId="29" xfId="0" applyFont="1" applyFill="1" applyBorder="1" applyAlignment="1" applyProtection="1">
      <alignment wrapText="1"/>
      <protection locked="0"/>
    </xf>
    <xf numFmtId="0" fontId="34" fillId="22" borderId="46" xfId="0" applyFont="1" applyFill="1" applyBorder="1" applyAlignment="1" applyProtection="1">
      <alignment wrapText="1"/>
      <protection locked="0"/>
    </xf>
    <xf numFmtId="0" fontId="34" fillId="22" borderId="47" xfId="0" applyFont="1" applyFill="1" applyBorder="1" applyAlignment="1" applyProtection="1">
      <alignment wrapText="1"/>
      <protection locked="0"/>
    </xf>
    <xf numFmtId="0" fontId="85" fillId="0" borderId="0" xfId="0" applyFont="1" applyAlignment="1">
      <alignment horizontal="left" wrapText="1"/>
    </xf>
    <xf numFmtId="0" fontId="0" fillId="0" borderId="46" xfId="0" applyBorder="1" applyAlignment="1">
      <alignment horizontal="left" wrapText="1"/>
    </xf>
    <xf numFmtId="0" fontId="0" fillId="0" borderId="47" xfId="0" applyBorder="1" applyAlignment="1">
      <alignment horizontal="left" wrapText="1"/>
    </xf>
    <xf numFmtId="164" fontId="61" fillId="32" borderId="0" xfId="48" applyFont="1" applyFill="1" applyAlignment="1">
      <alignment horizontal="center" vertical="center"/>
    </xf>
    <xf numFmtId="0" fontId="112" fillId="0" borderId="0" xfId="0" applyFont="1" applyAlignment="1">
      <alignment horizontal="center"/>
    </xf>
    <xf numFmtId="164" fontId="14" fillId="0" borderId="0" xfId="0" applyNumberFormat="1" applyFont="1" applyAlignment="1">
      <alignment horizontal="center"/>
    </xf>
    <xf numFmtId="164" fontId="28" fillId="0" borderId="0" xfId="0" applyNumberFormat="1" applyFont="1" applyAlignment="1">
      <alignment horizontal="right"/>
    </xf>
    <xf numFmtId="0" fontId="134" fillId="22" borderId="46" xfId="0" applyFont="1" applyFill="1" applyBorder="1" applyAlignment="1" applyProtection="1">
      <alignment horizontal="left" wrapText="1"/>
      <protection locked="0"/>
    </xf>
    <xf numFmtId="0" fontId="134" fillId="22" borderId="47" xfId="0" applyFont="1" applyFill="1" applyBorder="1" applyAlignment="1" applyProtection="1">
      <alignment horizontal="left" wrapText="1"/>
      <protection locked="0"/>
    </xf>
    <xf numFmtId="0" fontId="14" fillId="0" borderId="0" xfId="0" applyFont="1" applyBorder="1" applyAlignment="1">
      <alignment horizontal="center"/>
    </xf>
    <xf numFmtId="164" fontId="28" fillId="0" borderId="0" xfId="0" applyNumberFormat="1" applyFont="1" applyAlignment="1">
      <alignment horizontal="left"/>
    </xf>
    <xf numFmtId="0" fontId="0" fillId="0" borderId="139" xfId="0" applyFill="1" applyBorder="1" applyAlignment="1" applyProtection="1">
      <alignment horizontal="center" vertical="center"/>
    </xf>
    <xf numFmtId="0" fontId="0" fillId="0" borderId="140" xfId="0" applyFill="1" applyBorder="1" applyAlignment="1" applyProtection="1">
      <alignment horizontal="center" vertical="center"/>
    </xf>
    <xf numFmtId="0" fontId="0" fillId="0" borderId="141" xfId="0" applyFill="1" applyBorder="1" applyAlignment="1" applyProtection="1">
      <alignment horizontal="center" vertical="center"/>
    </xf>
    <xf numFmtId="15" fontId="28" fillId="0" borderId="0" xfId="0" applyNumberFormat="1" applyFont="1" applyAlignment="1">
      <alignment horizontal="right"/>
    </xf>
    <xf numFmtId="0" fontId="34" fillId="22" borderId="29" xfId="0" applyFont="1" applyFill="1" applyBorder="1" applyAlignment="1" applyProtection="1">
      <alignment wrapText="1"/>
      <protection locked="0"/>
    </xf>
    <xf numFmtId="0" fontId="0" fillId="0" borderId="46" xfId="0" applyBorder="1" applyAlignment="1">
      <alignment wrapText="1"/>
    </xf>
    <xf numFmtId="0" fontId="0" fillId="0" borderId="47" xfId="0" applyBorder="1" applyAlignment="1">
      <alignment wrapText="1"/>
    </xf>
    <xf numFmtId="164" fontId="61" fillId="32" borderId="0" xfId="48" applyFont="1" applyFill="1" applyAlignment="1" applyProtection="1">
      <alignment horizontal="center" vertical="center"/>
    </xf>
    <xf numFmtId="0" fontId="34" fillId="0" borderId="118" xfId="0" applyFont="1" applyBorder="1" applyAlignment="1" applyProtection="1">
      <alignment horizontal="left" vertical="center"/>
    </xf>
    <xf numFmtId="164" fontId="112" fillId="0" borderId="0" xfId="0" applyNumberFormat="1" applyFont="1" applyAlignment="1" applyProtection="1">
      <alignment horizontal="center"/>
    </xf>
    <xf numFmtId="164" fontId="33" fillId="0" borderId="0" xfId="0" applyNumberFormat="1" applyFont="1" applyAlignment="1" applyProtection="1">
      <alignment horizontal="center"/>
    </xf>
    <xf numFmtId="164" fontId="15" fillId="31" borderId="0" xfId="59" applyFont="1" applyFill="1" applyBorder="1" applyAlignment="1" applyProtection="1">
      <alignment horizontal="center"/>
    </xf>
    <xf numFmtId="0" fontId="34" fillId="0" borderId="29" xfId="0" applyFont="1" applyBorder="1" applyAlignment="1" applyProtection="1">
      <alignment horizontal="center" vertical="center"/>
    </xf>
    <xf numFmtId="0" fontId="34" fillId="0" borderId="46" xfId="0" applyFont="1" applyBorder="1" applyAlignment="1" applyProtection="1">
      <alignment horizontal="center" vertical="center"/>
    </xf>
    <xf numFmtId="0" fontId="34" fillId="0" borderId="47" xfId="0" applyFont="1" applyBorder="1" applyAlignment="1" applyProtection="1">
      <alignment horizontal="center" vertical="center"/>
    </xf>
    <xf numFmtId="9" fontId="135" fillId="22" borderId="29" xfId="56" applyFont="1" applyFill="1" applyBorder="1" applyAlignment="1" applyProtection="1">
      <alignment horizontal="left" vertical="center" wrapText="1"/>
      <protection locked="0"/>
    </xf>
    <xf numFmtId="9" fontId="135" fillId="22" borderId="46" xfId="56" applyFont="1" applyFill="1" applyBorder="1" applyAlignment="1" applyProtection="1">
      <alignment horizontal="left" vertical="center" wrapText="1"/>
      <protection locked="0"/>
    </xf>
    <xf numFmtId="9" fontId="135" fillId="22" borderId="47" xfId="56" applyFont="1" applyFill="1" applyBorder="1" applyAlignment="1" applyProtection="1">
      <alignment horizontal="left" vertical="center" wrapText="1"/>
      <protection locked="0"/>
    </xf>
    <xf numFmtId="9" fontId="135" fillId="22" borderId="10" xfId="56" applyFont="1" applyFill="1" applyBorder="1" applyAlignment="1" applyProtection="1">
      <alignment horizontal="left" vertical="center" wrapText="1"/>
      <protection locked="0"/>
    </xf>
    <xf numFmtId="9" fontId="28" fillId="0" borderId="29" xfId="56" applyFont="1" applyBorder="1" applyAlignment="1" applyProtection="1">
      <alignment horizontal="center" vertical="center" wrapText="1"/>
    </xf>
    <xf numFmtId="9" fontId="28" fillId="0" borderId="46" xfId="56" applyFont="1" applyBorder="1" applyAlignment="1" applyProtection="1">
      <alignment horizontal="center" vertical="center" wrapText="1"/>
    </xf>
    <xf numFmtId="9" fontId="28" fillId="0" borderId="47" xfId="56" applyFont="1" applyBorder="1" applyAlignment="1" applyProtection="1">
      <alignment horizontal="center" vertical="center" wrapText="1"/>
    </xf>
    <xf numFmtId="9" fontId="37" fillId="35" borderId="29" xfId="56" applyFont="1" applyFill="1" applyBorder="1" applyAlignment="1" applyProtection="1">
      <alignment horizontal="center" vertical="center" wrapText="1"/>
    </xf>
    <xf numFmtId="9" fontId="37" fillId="35" borderId="47" xfId="56" applyFont="1" applyFill="1" applyBorder="1" applyAlignment="1" applyProtection="1">
      <alignment horizontal="center" vertical="center" wrapText="1"/>
    </xf>
    <xf numFmtId="9" fontId="37" fillId="36" borderId="29" xfId="56" applyFont="1" applyFill="1" applyBorder="1" applyAlignment="1" applyProtection="1">
      <alignment horizontal="center" vertical="center" wrapText="1"/>
    </xf>
    <xf numFmtId="9" fontId="37" fillId="36" borderId="47" xfId="56" applyFont="1" applyFill="1" applyBorder="1" applyAlignment="1" applyProtection="1">
      <alignment horizontal="center" vertical="center" wrapText="1"/>
    </xf>
    <xf numFmtId="0" fontId="33" fillId="0" borderId="110" xfId="0" applyFont="1" applyBorder="1" applyAlignment="1" applyProtection="1">
      <alignment horizontal="center"/>
    </xf>
    <xf numFmtId="0" fontId="34" fillId="0" borderId="10" xfId="0" applyFont="1" applyBorder="1" applyAlignment="1" applyProtection="1">
      <alignment horizontal="center" vertical="center" wrapText="1"/>
    </xf>
    <xf numFmtId="0" fontId="34" fillId="0" borderId="10" xfId="0" applyFont="1" applyBorder="1" applyAlignment="1" applyProtection="1">
      <alignment vertical="center" wrapText="1"/>
    </xf>
    <xf numFmtId="0" fontId="34" fillId="20" borderId="0" xfId="0" applyFont="1" applyFill="1" applyAlignment="1" applyProtection="1">
      <alignment horizontal="center" vertical="center" wrapText="1"/>
    </xf>
    <xf numFmtId="0" fontId="34" fillId="0" borderId="29" xfId="0" applyFont="1" applyBorder="1" applyAlignment="1" applyProtection="1">
      <alignment vertical="center" wrapText="1"/>
    </xf>
    <xf numFmtId="0" fontId="34" fillId="0" borderId="46" xfId="0" applyFont="1" applyBorder="1" applyAlignment="1" applyProtection="1">
      <alignment vertical="center" wrapText="1"/>
    </xf>
    <xf numFmtId="0" fontId="34" fillId="0" borderId="47" xfId="0" applyFont="1" applyBorder="1" applyAlignment="1" applyProtection="1">
      <alignment vertical="center" wrapText="1"/>
    </xf>
    <xf numFmtId="0" fontId="34" fillId="20" borderId="158" xfId="0" applyFont="1" applyFill="1" applyBorder="1" applyAlignment="1" applyProtection="1">
      <alignment horizontal="left"/>
      <protection locked="0"/>
    </xf>
    <xf numFmtId="0" fontId="34" fillId="20" borderId="0" xfId="0" applyFont="1" applyFill="1" applyBorder="1" applyAlignment="1" applyProtection="1">
      <alignment horizontal="left"/>
      <protection locked="0"/>
    </xf>
    <xf numFmtId="9" fontId="30" fillId="22" borderId="10" xfId="56" applyFont="1" applyFill="1" applyBorder="1" applyAlignment="1" applyProtection="1">
      <alignment horizontal="left" vertical="center" wrapText="1"/>
      <protection locked="0"/>
    </xf>
    <xf numFmtId="9" fontId="34" fillId="22" borderId="10" xfId="56" applyFont="1" applyFill="1" applyBorder="1" applyAlignment="1" applyProtection="1">
      <alignment horizontal="left" vertical="center" wrapText="1"/>
      <protection locked="0"/>
    </xf>
    <xf numFmtId="0" fontId="34" fillId="20" borderId="0" xfId="0" applyFont="1" applyFill="1" applyBorder="1" applyAlignment="1" applyProtection="1">
      <alignment horizontal="left"/>
    </xf>
    <xf numFmtId="0" fontId="34" fillId="20" borderId="0" xfId="0" applyFont="1" applyFill="1" applyAlignment="1" applyProtection="1">
      <alignment horizontal="left"/>
      <protection locked="0"/>
    </xf>
    <xf numFmtId="0" fontId="34" fillId="20" borderId="44" xfId="0" applyFont="1" applyFill="1" applyBorder="1" applyAlignment="1" applyProtection="1">
      <alignment horizontal="left"/>
      <protection locked="0"/>
    </xf>
    <xf numFmtId="0" fontId="34" fillId="20" borderId="118" xfId="0" applyFont="1" applyFill="1" applyBorder="1" applyAlignment="1" applyProtection="1">
      <alignment horizontal="left"/>
    </xf>
    <xf numFmtId="0" fontId="34" fillId="20" borderId="118" xfId="0" applyFont="1" applyFill="1" applyBorder="1" applyAlignment="1" applyProtection="1">
      <alignment horizontal="left" vertical="center" wrapText="1"/>
    </xf>
    <xf numFmtId="0" fontId="34" fillId="22" borderId="29" xfId="0" applyFont="1" applyFill="1" applyBorder="1" applyAlignment="1" applyProtection="1">
      <alignment horizontal="left" vertical="top" wrapText="1"/>
      <protection locked="0"/>
    </xf>
    <xf numFmtId="0" fontId="0" fillId="0" borderId="46" xfId="0" applyBorder="1" applyAlignment="1">
      <alignment horizontal="left" vertical="top" wrapText="1"/>
    </xf>
    <xf numFmtId="0" fontId="0" fillId="0" borderId="47" xfId="0" applyBorder="1" applyAlignment="1">
      <alignment horizontal="left" vertical="top" wrapText="1"/>
    </xf>
    <xf numFmtId="0" fontId="34" fillId="22" borderId="46" xfId="0" applyFont="1" applyFill="1" applyBorder="1" applyAlignment="1" applyProtection="1">
      <alignment horizontal="left" vertical="top" wrapText="1"/>
      <protection locked="0"/>
    </xf>
    <xf numFmtId="0" fontId="34" fillId="22" borderId="47" xfId="0" applyFont="1" applyFill="1" applyBorder="1" applyAlignment="1" applyProtection="1">
      <alignment horizontal="left" vertical="top" wrapText="1"/>
      <protection locked="0"/>
    </xf>
    <xf numFmtId="0" fontId="2" fillId="22" borderId="168" xfId="0" applyFont="1" applyFill="1" applyBorder="1" applyAlignment="1" applyProtection="1">
      <alignment horizontal="center" vertical="top" wrapText="1"/>
      <protection locked="0"/>
    </xf>
    <xf numFmtId="0" fontId="2" fillId="22" borderId="169" xfId="0" applyFont="1" applyFill="1" applyBorder="1" applyAlignment="1" applyProtection="1">
      <alignment horizontal="center" vertical="top" wrapText="1"/>
      <protection locked="0"/>
    </xf>
    <xf numFmtId="0" fontId="2" fillId="22" borderId="170" xfId="0" applyFont="1" applyFill="1" applyBorder="1" applyAlignment="1" applyProtection="1">
      <alignment horizontal="center" vertical="top" wrapText="1"/>
      <protection locked="0"/>
    </xf>
    <xf numFmtId="0" fontId="2" fillId="22" borderId="209" xfId="0" applyFont="1" applyFill="1" applyBorder="1" applyAlignment="1" applyProtection="1">
      <alignment horizontal="center" vertical="top" wrapText="1"/>
      <protection locked="0"/>
    </xf>
    <xf numFmtId="0" fontId="2" fillId="22" borderId="210" xfId="0" applyFont="1" applyFill="1" applyBorder="1" applyAlignment="1" applyProtection="1">
      <alignment horizontal="center" vertical="top" wrapText="1"/>
      <protection locked="0"/>
    </xf>
    <xf numFmtId="0" fontId="2" fillId="22" borderId="211" xfId="0" applyFont="1" applyFill="1" applyBorder="1" applyAlignment="1" applyProtection="1">
      <alignment horizontal="center" vertical="top" wrapText="1"/>
      <protection locked="0"/>
    </xf>
    <xf numFmtId="0" fontId="79" fillId="19" borderId="12" xfId="0" applyFont="1" applyFill="1" applyBorder="1" applyAlignment="1" applyProtection="1">
      <alignment horizontal="center" vertical="center"/>
    </xf>
    <xf numFmtId="0" fontId="60" fillId="25" borderId="197" xfId="0" applyFont="1" applyFill="1" applyBorder="1" applyAlignment="1" applyProtection="1">
      <alignment horizontal="center" vertical="center"/>
    </xf>
    <xf numFmtId="0" fontId="60" fillId="25" borderId="198" xfId="0" applyFont="1" applyFill="1" applyBorder="1" applyAlignment="1" applyProtection="1">
      <alignment horizontal="center" vertical="center"/>
    </xf>
    <xf numFmtId="0" fontId="60" fillId="25" borderId="199" xfId="0" applyFont="1" applyFill="1" applyBorder="1" applyAlignment="1" applyProtection="1">
      <alignment horizontal="center" vertical="center"/>
    </xf>
    <xf numFmtId="0" fontId="2" fillId="24" borderId="200" xfId="0" applyFont="1" applyFill="1" applyBorder="1" applyAlignment="1" applyProtection="1">
      <alignment horizontal="center" vertical="top" wrapText="1"/>
      <protection locked="0"/>
    </xf>
    <xf numFmtId="0" fontId="2" fillId="24" borderId="201" xfId="0" applyFont="1" applyFill="1" applyBorder="1" applyAlignment="1" applyProtection="1">
      <alignment horizontal="center" vertical="top" wrapText="1"/>
      <protection locked="0"/>
    </xf>
    <xf numFmtId="0" fontId="2" fillId="24" borderId="202" xfId="0" applyFont="1" applyFill="1" applyBorder="1" applyAlignment="1" applyProtection="1">
      <alignment horizontal="center" vertical="top" wrapText="1"/>
      <protection locked="0"/>
    </xf>
    <xf numFmtId="0" fontId="2" fillId="24" borderId="203" xfId="0" applyFont="1" applyFill="1" applyBorder="1" applyAlignment="1" applyProtection="1">
      <alignment horizontal="center" vertical="top" wrapText="1"/>
      <protection locked="0"/>
    </xf>
    <xf numFmtId="0" fontId="2" fillId="24" borderId="204" xfId="0" applyFont="1" applyFill="1" applyBorder="1" applyAlignment="1" applyProtection="1">
      <alignment horizontal="center" vertical="top" wrapText="1"/>
      <protection locked="0"/>
    </xf>
    <xf numFmtId="0" fontId="2" fillId="24" borderId="205" xfId="0" applyFont="1" applyFill="1" applyBorder="1" applyAlignment="1" applyProtection="1">
      <alignment horizontal="center" vertical="top" wrapText="1"/>
      <protection locked="0"/>
    </xf>
    <xf numFmtId="0" fontId="2" fillId="24" borderId="183" xfId="0" applyFont="1" applyFill="1" applyBorder="1" applyAlignment="1" applyProtection="1">
      <alignment horizontal="center" vertical="top" wrapText="1"/>
      <protection locked="0"/>
    </xf>
    <xf numFmtId="0" fontId="2" fillId="24" borderId="184" xfId="0" applyFont="1" applyFill="1" applyBorder="1" applyAlignment="1" applyProtection="1">
      <alignment horizontal="center" vertical="top" wrapText="1"/>
      <protection locked="0"/>
    </xf>
    <xf numFmtId="0" fontId="2" fillId="24" borderId="185" xfId="0" applyFont="1" applyFill="1" applyBorder="1" applyAlignment="1" applyProtection="1">
      <alignment horizontal="center" vertical="top" wrapText="1"/>
      <protection locked="0"/>
    </xf>
    <xf numFmtId="0" fontId="78" fillId="0" borderId="206" xfId="0" applyFont="1" applyFill="1" applyBorder="1" applyAlignment="1" applyProtection="1">
      <alignment horizontal="center"/>
    </xf>
    <xf numFmtId="0" fontId="78" fillId="0" borderId="177" xfId="0" applyFont="1" applyFill="1" applyBorder="1" applyAlignment="1" applyProtection="1">
      <alignment horizontal="center"/>
    </xf>
    <xf numFmtId="49" fontId="2" fillId="25" borderId="192" xfId="0" applyNumberFormat="1" applyFont="1" applyFill="1" applyBorder="1" applyAlignment="1" applyProtection="1">
      <alignment horizontal="center" vertical="center"/>
      <protection locked="0"/>
    </xf>
    <xf numFmtId="49" fontId="2" fillId="25" borderId="160" xfId="0" applyNumberFormat="1" applyFont="1" applyFill="1" applyBorder="1" applyAlignment="1" applyProtection="1">
      <alignment horizontal="center" vertical="center"/>
      <protection locked="0"/>
    </xf>
    <xf numFmtId="49" fontId="2" fillId="25" borderId="193" xfId="0" applyNumberFormat="1" applyFont="1" applyFill="1" applyBorder="1" applyAlignment="1" applyProtection="1">
      <alignment horizontal="center" vertical="center"/>
      <protection locked="0"/>
    </xf>
    <xf numFmtId="49" fontId="2" fillId="25" borderId="207" xfId="0" applyNumberFormat="1" applyFont="1" applyFill="1" applyBorder="1" applyAlignment="1" applyProtection="1">
      <alignment horizontal="center" vertical="center"/>
      <protection locked="0"/>
    </xf>
    <xf numFmtId="49" fontId="2" fillId="25" borderId="14" xfId="0" applyNumberFormat="1" applyFont="1" applyFill="1" applyBorder="1" applyAlignment="1" applyProtection="1">
      <alignment horizontal="center" vertical="center"/>
      <protection locked="0"/>
    </xf>
    <xf numFmtId="49" fontId="2" fillId="25" borderId="208" xfId="0" applyNumberFormat="1" applyFont="1" applyFill="1" applyBorder="1" applyAlignment="1" applyProtection="1">
      <alignment horizontal="center" vertical="center"/>
      <protection locked="0"/>
    </xf>
    <xf numFmtId="0" fontId="78" fillId="0" borderId="0" xfId="0" applyFont="1" applyFill="1" applyBorder="1" applyAlignment="1" applyProtection="1">
      <alignment horizontal="center"/>
    </xf>
    <xf numFmtId="0" fontId="112" fillId="0" borderId="0" xfId="0" applyFont="1" applyBorder="1" applyAlignment="1" applyProtection="1">
      <alignment horizontal="center"/>
    </xf>
    <xf numFmtId="0" fontId="80" fillId="0" borderId="189" xfId="0" applyNumberFormat="1" applyFont="1" applyFill="1" applyBorder="1" applyAlignment="1" applyProtection="1">
      <alignment horizontal="left" vertical="top" wrapText="1"/>
    </xf>
    <xf numFmtId="0" fontId="80" fillId="0" borderId="190" xfId="0" applyNumberFormat="1" applyFont="1" applyFill="1" applyBorder="1" applyAlignment="1" applyProtection="1">
      <alignment horizontal="left" vertical="top" wrapText="1"/>
    </xf>
    <xf numFmtId="0" fontId="80" fillId="0" borderId="173" xfId="0" applyNumberFormat="1" applyFont="1" applyFill="1" applyBorder="1" applyAlignment="1" applyProtection="1">
      <alignment horizontal="left" vertical="top" wrapText="1"/>
    </xf>
    <xf numFmtId="0" fontId="80" fillId="0" borderId="191" xfId="0" applyNumberFormat="1" applyFont="1" applyFill="1" applyBorder="1" applyAlignment="1" applyProtection="1">
      <alignment horizontal="left" vertical="top" wrapText="1"/>
    </xf>
    <xf numFmtId="49" fontId="2" fillId="25" borderId="194" xfId="0" applyNumberFormat="1" applyFont="1" applyFill="1" applyBorder="1" applyAlignment="1" applyProtection="1">
      <alignment horizontal="center" vertical="center"/>
      <protection locked="0"/>
    </xf>
    <xf numFmtId="49" fontId="2" fillId="25" borderId="195" xfId="0" applyNumberFormat="1" applyFont="1" applyFill="1" applyBorder="1" applyAlignment="1" applyProtection="1">
      <alignment horizontal="center" vertical="center"/>
      <protection locked="0"/>
    </xf>
    <xf numFmtId="49" fontId="2" fillId="25" borderId="196" xfId="0" applyNumberFormat="1" applyFont="1" applyFill="1" applyBorder="1" applyAlignment="1" applyProtection="1">
      <alignment horizontal="center" vertical="center"/>
      <protection locked="0"/>
    </xf>
    <xf numFmtId="0" fontId="80" fillId="0" borderId="174" xfId="0" applyNumberFormat="1" applyFont="1" applyFill="1" applyBorder="1" applyAlignment="1" applyProtection="1">
      <alignment horizontal="left" vertical="top" wrapText="1"/>
    </xf>
    <xf numFmtId="0" fontId="126" fillId="24" borderId="178" xfId="0" applyFont="1" applyFill="1" applyBorder="1" applyAlignment="1" applyProtection="1">
      <alignment horizontal="center" vertical="center"/>
    </xf>
    <xf numFmtId="0" fontId="126" fillId="24" borderId="179" xfId="0" applyFont="1" applyFill="1" applyBorder="1" applyAlignment="1" applyProtection="1">
      <alignment horizontal="center" vertical="center"/>
    </xf>
    <xf numFmtId="0" fontId="0" fillId="0" borderId="179" xfId="0" applyBorder="1" applyAlignment="1">
      <alignment horizontal="center" vertical="center"/>
    </xf>
    <xf numFmtId="0" fontId="126" fillId="24" borderId="180" xfId="0" applyFont="1" applyFill="1" applyBorder="1" applyAlignment="1" applyProtection="1">
      <alignment horizontal="center" vertical="center"/>
    </xf>
    <xf numFmtId="0" fontId="126" fillId="24" borderId="181" xfId="0" applyFont="1" applyFill="1" applyBorder="1" applyAlignment="1" applyProtection="1">
      <alignment horizontal="center" vertical="center"/>
    </xf>
    <xf numFmtId="0" fontId="126" fillId="24" borderId="182" xfId="0" applyFont="1" applyFill="1" applyBorder="1" applyAlignment="1" applyProtection="1">
      <alignment horizontal="center" vertical="center"/>
    </xf>
    <xf numFmtId="0" fontId="80" fillId="0" borderId="171" xfId="0" applyNumberFormat="1" applyFont="1" applyFill="1" applyBorder="1" applyAlignment="1" applyProtection="1">
      <alignment horizontal="left" vertical="top" wrapText="1"/>
    </xf>
    <xf numFmtId="0" fontId="80" fillId="0" borderId="172" xfId="0" applyNumberFormat="1" applyFont="1" applyFill="1" applyBorder="1" applyAlignment="1" applyProtection="1">
      <alignment horizontal="left" vertical="top" wrapText="1"/>
    </xf>
    <xf numFmtId="9" fontId="2" fillId="0" borderId="159" xfId="56" applyNumberFormat="1" applyFont="1" applyFill="1" applyBorder="1" applyAlignment="1" applyProtection="1">
      <alignment horizontal="left" vertical="center" wrapText="1"/>
    </xf>
    <xf numFmtId="0" fontId="2" fillId="0" borderId="160" xfId="56" applyNumberFormat="1" applyFont="1" applyFill="1" applyBorder="1" applyAlignment="1" applyProtection="1">
      <alignment horizontal="left" vertical="center" wrapText="1"/>
    </xf>
    <xf numFmtId="0" fontId="2" fillId="0" borderId="161" xfId="56" applyNumberFormat="1" applyFont="1" applyFill="1" applyBorder="1" applyAlignment="1" applyProtection="1">
      <alignment horizontal="left" vertical="center" wrapText="1"/>
    </xf>
    <xf numFmtId="0" fontId="2" fillId="0" borderId="159" xfId="56" applyNumberFormat="1" applyFont="1" applyFill="1" applyBorder="1" applyAlignment="1" applyProtection="1">
      <alignment horizontal="left" vertical="center" wrapText="1"/>
    </xf>
    <xf numFmtId="0" fontId="80" fillId="0" borderId="175" xfId="0" applyNumberFormat="1" applyFont="1" applyFill="1" applyBorder="1" applyAlignment="1" applyProtection="1">
      <alignment horizontal="left" vertical="top" wrapText="1"/>
    </xf>
    <xf numFmtId="0" fontId="80" fillId="0" borderId="176" xfId="0" applyNumberFormat="1" applyFont="1" applyFill="1" applyBorder="1" applyAlignment="1" applyProtection="1">
      <alignment horizontal="left" vertical="top" wrapText="1"/>
    </xf>
    <xf numFmtId="0" fontId="60" fillId="22" borderId="162" xfId="0" applyFont="1" applyFill="1" applyBorder="1" applyAlignment="1" applyProtection="1">
      <alignment horizontal="center" vertical="center"/>
    </xf>
    <xf numFmtId="0" fontId="60" fillId="22" borderId="163" xfId="0" applyFont="1" applyFill="1" applyBorder="1" applyAlignment="1" applyProtection="1">
      <alignment horizontal="center" vertical="center"/>
    </xf>
    <xf numFmtId="0" fontId="60" fillId="22" borderId="164" xfId="0" applyFont="1" applyFill="1" applyBorder="1" applyAlignment="1" applyProtection="1">
      <alignment horizontal="center" vertical="center"/>
    </xf>
    <xf numFmtId="0" fontId="80" fillId="0" borderId="165" xfId="0" applyNumberFormat="1" applyFont="1" applyFill="1" applyBorder="1" applyAlignment="1" applyProtection="1">
      <alignment horizontal="left" vertical="center" wrapText="1"/>
    </xf>
    <xf numFmtId="0" fontId="80" fillId="0" borderId="166" xfId="0" applyNumberFormat="1" applyFont="1" applyFill="1" applyBorder="1" applyAlignment="1" applyProtection="1">
      <alignment horizontal="left" vertical="center" wrapText="1"/>
    </xf>
    <xf numFmtId="0" fontId="80" fillId="0" borderId="167" xfId="0" applyNumberFormat="1" applyFont="1" applyFill="1" applyBorder="1" applyAlignment="1" applyProtection="1">
      <alignment horizontal="left" vertical="center" wrapText="1"/>
    </xf>
    <xf numFmtId="0" fontId="2" fillId="22" borderId="186" xfId="0" applyFont="1" applyFill="1" applyBorder="1" applyAlignment="1" applyProtection="1">
      <alignment horizontal="center" vertical="top" wrapText="1"/>
      <protection locked="0"/>
    </xf>
    <xf numFmtId="0" fontId="2" fillId="22" borderId="187" xfId="0" applyFont="1" applyFill="1" applyBorder="1" applyAlignment="1" applyProtection="1">
      <alignment horizontal="center" vertical="top" wrapText="1"/>
      <protection locked="0"/>
    </xf>
    <xf numFmtId="0" fontId="2" fillId="22" borderId="188" xfId="0" applyFont="1" applyFill="1" applyBorder="1" applyAlignment="1" applyProtection="1">
      <alignment horizontal="center" vertical="top" wrapText="1"/>
      <protection locked="0"/>
    </xf>
    <xf numFmtId="0" fontId="21" fillId="0" borderId="213" xfId="0" applyFont="1" applyFill="1" applyBorder="1" applyAlignment="1" applyProtection="1">
      <alignment horizontal="left"/>
      <protection locked="0"/>
    </xf>
    <xf numFmtId="0" fontId="21" fillId="0" borderId="214" xfId="0" applyFont="1" applyFill="1" applyBorder="1" applyAlignment="1" applyProtection="1">
      <alignment horizontal="left"/>
      <protection locked="0"/>
    </xf>
    <xf numFmtId="0" fontId="21" fillId="0" borderId="236" xfId="0" applyFont="1" applyFill="1" applyBorder="1" applyAlignment="1" applyProtection="1">
      <alignment horizontal="left" vertical="top" wrapText="1"/>
      <protection locked="0"/>
    </xf>
    <xf numFmtId="0" fontId="21" fillId="0" borderId="237" xfId="0" applyFont="1" applyFill="1" applyBorder="1" applyAlignment="1" applyProtection="1">
      <alignment horizontal="left" vertical="top" wrapText="1"/>
      <protection locked="0"/>
    </xf>
    <xf numFmtId="0" fontId="21" fillId="0" borderId="238" xfId="0" applyFont="1" applyFill="1" applyBorder="1" applyAlignment="1" applyProtection="1">
      <alignment horizontal="left" vertical="top" wrapText="1"/>
      <protection locked="0"/>
    </xf>
    <xf numFmtId="0" fontId="21" fillId="0" borderId="231" xfId="0" applyFont="1" applyFill="1" applyBorder="1" applyAlignment="1" applyProtection="1">
      <alignment horizontal="left" vertical="top" wrapText="1"/>
      <protection locked="0"/>
    </xf>
    <xf numFmtId="0" fontId="21" fillId="0" borderId="195" xfId="0" applyFont="1" applyFill="1" applyBorder="1" applyAlignment="1" applyProtection="1">
      <alignment horizontal="left" vertical="top" wrapText="1"/>
      <protection locked="0"/>
    </xf>
    <xf numFmtId="0" fontId="21" fillId="0" borderId="239" xfId="0" applyFont="1" applyFill="1" applyBorder="1" applyAlignment="1" applyProtection="1">
      <alignment horizontal="left" vertical="top" wrapText="1"/>
      <protection locked="0"/>
    </xf>
    <xf numFmtId="0" fontId="77" fillId="21" borderId="227" xfId="53" applyNumberFormat="1" applyFont="1" applyFill="1" applyBorder="1" applyAlignment="1">
      <alignment horizontal="center" vertical="center" wrapText="1"/>
    </xf>
    <xf numFmtId="0" fontId="77" fillId="21" borderId="13" xfId="53" applyNumberFormat="1" applyFont="1" applyFill="1" applyBorder="1" applyAlignment="1">
      <alignment horizontal="center" vertical="center" wrapText="1"/>
    </xf>
    <xf numFmtId="0" fontId="21" fillId="0" borderId="160" xfId="0" applyFont="1" applyFill="1" applyBorder="1" applyAlignment="1" applyProtection="1">
      <alignment horizontal="left" vertical="center" wrapText="1"/>
      <protection locked="0"/>
    </xf>
    <xf numFmtId="0" fontId="21" fillId="0" borderId="219" xfId="0" applyFont="1" applyFill="1" applyBorder="1" applyAlignment="1" applyProtection="1">
      <alignment horizontal="left" vertical="center" wrapText="1"/>
      <protection locked="0"/>
    </xf>
    <xf numFmtId="0" fontId="99" fillId="21" borderId="222" xfId="0" applyFont="1" applyFill="1" applyBorder="1" applyAlignment="1">
      <alignment horizontal="center" vertical="center" textRotation="90"/>
    </xf>
    <xf numFmtId="0" fontId="0" fillId="21" borderId="96" xfId="0" applyFill="1" applyBorder="1" applyAlignment="1">
      <alignment horizontal="center" vertical="center" textRotation="90"/>
    </xf>
    <xf numFmtId="0" fontId="0" fillId="21" borderId="113" xfId="0" applyFill="1" applyBorder="1" applyAlignment="1">
      <alignment horizontal="center" vertical="center" textRotation="90"/>
    </xf>
    <xf numFmtId="0" fontId="21" fillId="0" borderId="220" xfId="0" applyFont="1" applyFill="1" applyBorder="1" applyAlignment="1" applyProtection="1">
      <alignment horizontal="left"/>
      <protection locked="0"/>
    </xf>
    <xf numFmtId="0" fontId="33" fillId="0" borderId="0" xfId="0" applyFont="1" applyAlignment="1">
      <alignment horizontal="center"/>
    </xf>
    <xf numFmtId="0" fontId="77" fillId="21" borderId="224" xfId="53" applyNumberFormat="1" applyFont="1" applyFill="1" applyBorder="1" applyAlignment="1">
      <alignment horizontal="center" vertical="center" wrapText="1"/>
    </xf>
    <xf numFmtId="0" fontId="77" fillId="21" borderId="225" xfId="53" applyNumberFormat="1" applyFont="1" applyFill="1" applyBorder="1" applyAlignment="1">
      <alignment horizontal="center" vertical="center" wrapText="1"/>
    </xf>
    <xf numFmtId="0" fontId="77" fillId="21" borderId="226" xfId="53" applyNumberFormat="1" applyFont="1" applyFill="1" applyBorder="1" applyAlignment="1">
      <alignment horizontal="center" vertical="center" wrapText="1"/>
    </xf>
    <xf numFmtId="0" fontId="21" fillId="0" borderId="221" xfId="0" applyFont="1" applyFill="1" applyBorder="1" applyAlignment="1" applyProtection="1">
      <alignment horizontal="left"/>
      <protection locked="0"/>
    </xf>
    <xf numFmtId="0" fontId="21" fillId="0" borderId="215" xfId="0" applyFont="1" applyFill="1" applyBorder="1" applyAlignment="1" applyProtection="1">
      <alignment horizontal="left"/>
      <protection locked="0"/>
    </xf>
    <xf numFmtId="0" fontId="21" fillId="0" borderId="220" xfId="0" applyFont="1" applyBorder="1" applyAlignment="1" applyProtection="1">
      <alignment horizontal="left"/>
      <protection locked="0"/>
    </xf>
    <xf numFmtId="0" fontId="21" fillId="0" borderId="213" xfId="0" applyFont="1" applyBorder="1" applyAlignment="1" applyProtection="1">
      <alignment horizontal="left"/>
      <protection locked="0"/>
    </xf>
    <xf numFmtId="0" fontId="21" fillId="0" borderId="228" xfId="0" applyFont="1" applyFill="1" applyBorder="1" applyAlignment="1" applyProtection="1">
      <alignment horizontal="left" vertical="top" wrapText="1"/>
      <protection locked="0"/>
    </xf>
    <xf numFmtId="0" fontId="21" fillId="0" borderId="229" xfId="0" applyFont="1" applyFill="1" applyBorder="1" applyAlignment="1" applyProtection="1">
      <alignment horizontal="left" vertical="top" wrapText="1"/>
      <protection locked="0"/>
    </xf>
    <xf numFmtId="0" fontId="21" fillId="0" borderId="230" xfId="0" applyFont="1" applyFill="1" applyBorder="1" applyAlignment="1" applyProtection="1">
      <alignment horizontal="left" vertical="top" wrapText="1"/>
      <protection locked="0"/>
    </xf>
    <xf numFmtId="0" fontId="21" fillId="0" borderId="232" xfId="0" applyFont="1" applyFill="1" applyBorder="1" applyAlignment="1" applyProtection="1">
      <alignment horizontal="left" vertical="top" wrapText="1"/>
      <protection locked="0"/>
    </xf>
    <xf numFmtId="0" fontId="21" fillId="0" borderId="218" xfId="0" applyFont="1" applyFill="1" applyBorder="1" applyAlignment="1" applyProtection="1">
      <alignment horizontal="left"/>
      <protection locked="0"/>
    </xf>
    <xf numFmtId="0" fontId="21" fillId="0" borderId="160" xfId="0" applyFont="1" applyFill="1" applyBorder="1" applyAlignment="1" applyProtection="1">
      <alignment horizontal="left"/>
      <protection locked="0"/>
    </xf>
    <xf numFmtId="0" fontId="21" fillId="0" borderId="219" xfId="0" applyFont="1" applyFill="1" applyBorder="1" applyAlignment="1" applyProtection="1">
      <alignment horizontal="left"/>
      <protection locked="0"/>
    </xf>
    <xf numFmtId="0" fontId="21" fillId="0" borderId="233" xfId="0" applyFont="1" applyFill="1" applyBorder="1" applyAlignment="1" applyProtection="1">
      <alignment horizontal="left"/>
      <protection locked="0"/>
    </xf>
    <xf numFmtId="0" fontId="21" fillId="0" borderId="234" xfId="0" applyFont="1" applyFill="1" applyBorder="1" applyAlignment="1" applyProtection="1">
      <alignment horizontal="left"/>
      <protection locked="0"/>
    </xf>
    <xf numFmtId="0" fontId="21" fillId="0" borderId="235" xfId="0" applyFont="1" applyFill="1" applyBorder="1" applyAlignment="1" applyProtection="1">
      <alignment horizontal="left"/>
      <protection locked="0"/>
    </xf>
    <xf numFmtId="0" fontId="21" fillId="0" borderId="234" xfId="0" applyFont="1" applyFill="1" applyBorder="1" applyAlignment="1" applyProtection="1">
      <alignment horizontal="left" vertical="center" wrapText="1"/>
      <protection locked="0"/>
    </xf>
    <xf numFmtId="0" fontId="21" fillId="0" borderId="235" xfId="0" applyFont="1" applyFill="1" applyBorder="1" applyAlignment="1" applyProtection="1">
      <alignment horizontal="left" vertical="center" wrapText="1"/>
      <protection locked="0"/>
    </xf>
    <xf numFmtId="0" fontId="21" fillId="0" borderId="223" xfId="0" applyFont="1" applyBorder="1" applyAlignment="1" applyProtection="1">
      <alignment horizontal="left"/>
      <protection locked="0"/>
    </xf>
    <xf numFmtId="0" fontId="21" fillId="0" borderId="39" xfId="0" applyFont="1" applyBorder="1" applyAlignment="1" applyProtection="1">
      <alignment horizontal="left"/>
      <protection locked="0"/>
    </xf>
    <xf numFmtId="0" fontId="21" fillId="0" borderId="221" xfId="0" applyFont="1" applyBorder="1" applyAlignment="1" applyProtection="1">
      <alignment horizontal="left"/>
      <protection locked="0"/>
    </xf>
    <xf numFmtId="0" fontId="21" fillId="0" borderId="215" xfId="0" applyFont="1" applyBorder="1" applyAlignment="1" applyProtection="1">
      <alignment horizontal="left"/>
      <protection locked="0"/>
    </xf>
    <xf numFmtId="0" fontId="21" fillId="0" borderId="39" xfId="0" applyFont="1" applyFill="1" applyBorder="1" applyAlignment="1" applyProtection="1">
      <alignment horizontal="left"/>
      <protection locked="0"/>
    </xf>
    <xf numFmtId="0" fontId="21" fillId="0" borderId="223" xfId="0" applyFont="1" applyFill="1" applyBorder="1" applyAlignment="1" applyProtection="1">
      <alignment horizontal="left"/>
      <protection locked="0"/>
    </xf>
    <xf numFmtId="164" fontId="15" fillId="31" borderId="0" xfId="60" applyFont="1" applyFill="1" applyBorder="1" applyAlignment="1" applyProtection="1">
      <alignment horizontal="center"/>
      <protection locked="0"/>
    </xf>
    <xf numFmtId="0" fontId="21" fillId="0" borderId="217" xfId="0" applyFont="1" applyFill="1" applyBorder="1" applyAlignment="1" applyProtection="1">
      <alignment horizontal="left"/>
      <protection locked="0"/>
    </xf>
    <xf numFmtId="0" fontId="0" fillId="22" borderId="117" xfId="0" applyFill="1" applyBorder="1" applyAlignment="1" applyProtection="1">
      <alignment horizontal="center"/>
      <protection locked="0"/>
    </xf>
    <xf numFmtId="0" fontId="0" fillId="22" borderId="118" xfId="0" applyFill="1" applyBorder="1" applyAlignment="1" applyProtection="1">
      <alignment horizontal="center"/>
      <protection locked="0"/>
    </xf>
    <xf numFmtId="0" fontId="0" fillId="22" borderId="119" xfId="0" applyFill="1" applyBorder="1" applyAlignment="1" applyProtection="1">
      <alignment horizontal="center"/>
      <protection locked="0"/>
    </xf>
    <xf numFmtId="0" fontId="0" fillId="22" borderId="68" xfId="0" applyFill="1" applyBorder="1" applyAlignment="1" applyProtection="1">
      <alignment horizontal="center"/>
      <protection locked="0"/>
    </xf>
    <xf numFmtId="0" fontId="0" fillId="22" borderId="110" xfId="0" applyFill="1" applyBorder="1" applyAlignment="1" applyProtection="1">
      <alignment horizontal="center"/>
      <protection locked="0"/>
    </xf>
    <xf numFmtId="0" fontId="0" fillId="22" borderId="112" xfId="0" applyFill="1" applyBorder="1" applyAlignment="1" applyProtection="1">
      <alignment horizontal="center"/>
      <protection locked="0"/>
    </xf>
    <xf numFmtId="0" fontId="77" fillId="21" borderId="212" xfId="53" applyNumberFormat="1" applyFont="1" applyFill="1" applyBorder="1" applyAlignment="1">
      <alignment horizontal="center" vertical="center" wrapText="1"/>
    </xf>
    <xf numFmtId="0" fontId="21" fillId="0" borderId="216" xfId="0" applyFont="1" applyFill="1" applyBorder="1" applyAlignment="1" applyProtection="1">
      <alignment horizontal="left"/>
      <protection locked="0"/>
    </xf>
    <xf numFmtId="0" fontId="21" fillId="0" borderId="214" xfId="0" applyFont="1" applyBorder="1" applyAlignment="1" applyProtection="1">
      <alignment horizontal="left"/>
      <protection locked="0"/>
    </xf>
    <xf numFmtId="0" fontId="21" fillId="0" borderId="216" xfId="0" applyFont="1" applyBorder="1" applyAlignment="1" applyProtection="1">
      <alignment horizontal="left"/>
      <protection locked="0"/>
    </xf>
    <xf numFmtId="0" fontId="21" fillId="0" borderId="217" xfId="0" applyFont="1" applyBorder="1" applyAlignment="1" applyProtection="1">
      <alignment horizontal="left"/>
      <protection locked="0"/>
    </xf>
    <xf numFmtId="164" fontId="17" fillId="32" borderId="0" xfId="39" applyFont="1" applyFill="1" applyAlignment="1">
      <alignment horizontal="center" vertical="center"/>
    </xf>
  </cellXfs>
  <cellStyles count="6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xfId="28" builtinId="3"/>
    <cellStyle name="Euro" xfId="29"/>
    <cellStyle name="Explanatory Text" xfId="30"/>
    <cellStyle name="Good" xfId="31"/>
    <cellStyle name="Heading 1" xfId="32"/>
    <cellStyle name="Heading 2" xfId="33"/>
    <cellStyle name="Heading 3" xfId="34"/>
    <cellStyle name="Heading 4" xfId="35"/>
    <cellStyle name="Input" xfId="36"/>
    <cellStyle name="Linked Cell" xfId="37"/>
    <cellStyle name="Millares 2" xfId="38"/>
    <cellStyle name="Normal" xfId="0" builtinId="0"/>
    <cellStyle name="Normal 2" xfId="39"/>
    <cellStyle name="Normal 2 2" xfId="40"/>
    <cellStyle name="Normal 2 3" xfId="41"/>
    <cellStyle name="Normal 2 4" xfId="42"/>
    <cellStyle name="Normal 2 5" xfId="43"/>
    <cellStyle name="Normal 2 6" xfId="44"/>
    <cellStyle name="Normal 2 7" xfId="45"/>
    <cellStyle name="Normal 2 8" xfId="46"/>
    <cellStyle name="Normal 2_Dashboard ver 2.2 ES" xfId="47"/>
    <cellStyle name="Normal 2_Prototipo" xfId="48"/>
    <cellStyle name="Normal 3" xfId="49"/>
    <cellStyle name="Normal 4" xfId="50"/>
    <cellStyle name="Normal 5" xfId="51"/>
    <cellStyle name="Normal 6" xfId="52"/>
    <cellStyle name="Normal_TZ_R3HIV_Phase_2_21_August_08" xfId="53"/>
    <cellStyle name="Note" xfId="54"/>
    <cellStyle name="Output" xfId="55"/>
    <cellStyle name="Percent" xfId="56" builtinId="5"/>
    <cellStyle name="Title" xfId="57"/>
    <cellStyle name="Título 3 3" xfId="58"/>
    <cellStyle name="Título 3 3_Prototipo" xfId="59"/>
    <cellStyle name="Título 3 3_PrototipoRep1" xfId="60"/>
    <cellStyle name="Título 3 7" xfId="61"/>
    <cellStyle name="Warning Text" xfId="62"/>
  </cellStyles>
  <dxfs count="42">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5" Type="http://schemas.openxmlformats.org/officeDocument/2006/relationships/customXml" Target="../customXml/item1.xml"/><Relationship Id="rId16" Type="http://schemas.openxmlformats.org/officeDocument/2006/relationships/customXml" Target="../customXml/item2.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8"/>
          <c:y val="0.0524017467248908"/>
          <c:w val="0.809960681520314"/>
          <c:h val="0.641921397379913"/>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dist="35921" dir="2700000" algn="br">
                <a:srgbClr val="000000"/>
              </a:outerShdw>
            </a:effectLst>
          </c:spPr>
          <c:invertIfNegative val="0"/>
          <c:val>
            <c:numRef>
              <c:f>'Data Entry'!$C$33:$N$33</c:f>
              <c:numCache>
                <c:formatCode>#,##0</c:formatCode>
                <c:ptCount val="12"/>
                <c:pt idx="0">
                  <c:v>2.3208938575E6</c:v>
                </c:pt>
                <c:pt idx="1">
                  <c:v>1.24469685010606E7</c:v>
                </c:pt>
                <c:pt idx="2">
                  <c:v>2.22508210196211E7</c:v>
                </c:pt>
                <c:pt idx="3">
                  <c:v>3.16299885381817E7</c:v>
                </c:pt>
                <c:pt idx="4">
                  <c:v>4.98926890756923E7</c:v>
                </c:pt>
                <c:pt idx="5">
                  <c:v>5.9598354439203E7</c:v>
                </c:pt>
                <c:pt idx="6">
                  <c:v>6.84961474540371E7</c:v>
                </c:pt>
                <c:pt idx="7">
                  <c:v>0.0</c:v>
                </c:pt>
                <c:pt idx="8">
                  <c:v>0.0</c:v>
                </c:pt>
                <c:pt idx="9">
                  <c:v>0.0</c:v>
                </c:pt>
                <c:pt idx="10">
                  <c:v>0.0</c:v>
                </c:pt>
                <c:pt idx="11">
                  <c:v>0.0</c:v>
                </c:pt>
              </c:numCache>
            </c:numRef>
          </c:val>
        </c:ser>
        <c:ser>
          <c:idx val="1"/>
          <c:order val="1"/>
          <c:tx>
            <c:strRef>
              <c:f>'Data Entry'!$B$34</c:f>
              <c:strCache>
                <c:ptCount val="1"/>
                <c:pt idx="0">
                  <c:v>Cumulative disbursements</c:v>
                </c:pt>
              </c:strCache>
            </c:strRef>
          </c:tx>
          <c:spPr>
            <a:solidFill>
              <a:srgbClr val="0070C0"/>
            </a:solidFill>
            <a:ln w="3175">
              <a:solidFill>
                <a:srgbClr val="000000"/>
              </a:solidFill>
              <a:prstDash val="solid"/>
            </a:ln>
            <a:effectLst>
              <a:outerShdw dist="35921" dir="2700000" algn="br">
                <a:srgbClr val="000000"/>
              </a:outerShdw>
            </a:effectLst>
          </c:spPr>
          <c:invertIfNegative val="0"/>
          <c:val>
            <c:numRef>
              <c:f>'Data Entry'!$C$34:$N$34</c:f>
              <c:numCache>
                <c:formatCode>#,##0</c:formatCode>
                <c:ptCount val="12"/>
                <c:pt idx="0">
                  <c:v>0.0</c:v>
                </c:pt>
                <c:pt idx="1">
                  <c:v>1.371597E7</c:v>
                </c:pt>
                <c:pt idx="2">
                  <c:v>1.371597E7</c:v>
                </c:pt>
                <c:pt idx="3">
                  <c:v>3.798550822E7</c:v>
                </c:pt>
                <c:pt idx="4">
                  <c:v>4.41789571E7</c:v>
                </c:pt>
                <c:pt idx="5">
                  <c:v>5.257196429E7</c:v>
                </c:pt>
                <c:pt idx="6">
                  <c:v>5.705911908E7</c:v>
                </c:pt>
                <c:pt idx="7">
                  <c:v>0.0</c:v>
                </c:pt>
                <c:pt idx="8">
                  <c:v>0.0</c:v>
                </c:pt>
                <c:pt idx="9">
                  <c:v>0.0</c:v>
                </c:pt>
                <c:pt idx="10">
                  <c:v>0.0</c:v>
                </c:pt>
                <c:pt idx="11">
                  <c:v>0.0</c:v>
                </c:pt>
              </c:numCache>
            </c:numRef>
          </c:val>
        </c:ser>
        <c:dLbls>
          <c:showLegendKey val="0"/>
          <c:showVal val="0"/>
          <c:showCatName val="0"/>
          <c:showSerName val="0"/>
          <c:showPercent val="0"/>
          <c:showBubbleSize val="0"/>
        </c:dLbls>
        <c:gapWidth val="70"/>
        <c:axId val="1590515408"/>
        <c:axId val="-2083804400"/>
      </c:barChart>
      <c:catAx>
        <c:axId val="1590515408"/>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n-US"/>
                  <a:t>Reporting Period</a:t>
                </a:r>
              </a:p>
            </c:rich>
          </c:tx>
          <c:layout>
            <c:manualLayout>
              <c:xMode val="edge"/>
              <c:yMode val="edge"/>
              <c:x val="0.480662949046263"/>
              <c:y val="0.78695630151494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2083804400"/>
        <c:crosses val="autoZero"/>
        <c:auto val="1"/>
        <c:lblAlgn val="ctr"/>
        <c:lblOffset val="100"/>
        <c:tickLblSkip val="1"/>
        <c:tickMarkSkip val="1"/>
        <c:noMultiLvlLbl val="0"/>
      </c:catAx>
      <c:valAx>
        <c:axId val="-208380440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1590515408"/>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570" b="0" i="0" u="none" strike="noStrike" baseline="0">
                <a:solidFill>
                  <a:srgbClr val="000000"/>
                </a:solidFill>
                <a:latin typeface="Arial"/>
                <a:ea typeface="Arial"/>
                <a:cs typeface="Arial"/>
              </a:defRPr>
            </a:pPr>
            <a:endParaRPr lang="en-US"/>
          </a:p>
        </c:txPr>
      </c:legendEntry>
      <c:legendEntry>
        <c:idx val="1"/>
        <c:txPr>
          <a:bodyPr/>
          <a:lstStyle/>
          <a:p>
            <a:pPr>
              <a:defRPr sz="570" b="0" i="0" u="none" strike="noStrike" baseline="0">
                <a:solidFill>
                  <a:srgbClr val="000000"/>
                </a:solidFill>
                <a:latin typeface="Arial"/>
                <a:ea typeface="Arial"/>
                <a:cs typeface="Arial"/>
              </a:defRPr>
            </a:pPr>
            <a:endParaRPr lang="en-US"/>
          </a:p>
        </c:txPr>
      </c:legendEntry>
      <c:layout>
        <c:manualLayout>
          <c:xMode val="edge"/>
          <c:yMode val="edge"/>
          <c:x val="0.164139243232894"/>
          <c:y val="0.859679974213749"/>
          <c:w val="0.735586721872532"/>
          <c:h val="0.111115255329926"/>
        </c:manualLayout>
      </c:layout>
      <c:overlay val="0"/>
      <c:spPr>
        <a:solidFill>
          <a:srgbClr val="FFFFFF"/>
        </a:solidFill>
        <a:ln w="3175">
          <a:solidFill>
            <a:srgbClr val="000000"/>
          </a:solidFill>
          <a:prstDash val="solid"/>
        </a:ln>
      </c:spPr>
      <c:txPr>
        <a:bodyPr/>
        <a:lstStyle/>
        <a:p>
          <a:pPr>
            <a:defRPr sz="44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0.0895526227117345"/>
          <c:w val="0.833140043193296"/>
          <c:h val="0.653207365662063"/>
        </c:manualLayout>
      </c:layout>
      <c:barChart>
        <c:barDir val="col"/>
        <c:grouping val="clustered"/>
        <c:varyColors val="0"/>
        <c:ser>
          <c:idx val="0"/>
          <c:order val="0"/>
          <c:tx>
            <c:strRef>
              <c:f>'Data Entry'!$G$122</c:f>
              <c:strCache>
                <c:ptCount val="1"/>
                <c:pt idx="0">
                  <c:v>Target</c:v>
                </c:pt>
              </c:strCache>
            </c:strRef>
          </c:tx>
          <c:spPr>
            <a:solidFill>
              <a:srgbClr val="0066CC"/>
            </a:solidFill>
            <a:ln w="25400">
              <a:noFill/>
            </a:ln>
          </c:spPr>
          <c:invertIfNegative val="0"/>
          <c:val>
            <c:numRef>
              <c:f>'Data Entry'!$H$122:$S$122</c:f>
              <c:numCache>
                <c:formatCode>#,##0</c:formatCode>
                <c:ptCount val="12"/>
                <c:pt idx="0">
                  <c:v>2.692264E6</c:v>
                </c:pt>
                <c:pt idx="1">
                  <c:v>2.692264E6</c:v>
                </c:pt>
                <c:pt idx="2">
                  <c:v>5.913034E6</c:v>
                </c:pt>
                <c:pt idx="3">
                  <c:v>5.913034E6</c:v>
                </c:pt>
                <c:pt idx="4">
                  <c:v>1.814467E6</c:v>
                </c:pt>
                <c:pt idx="5">
                  <c:v>1.814467E6</c:v>
                </c:pt>
                <c:pt idx="6">
                  <c:v>2.331644E6</c:v>
                </c:pt>
              </c:numCache>
            </c:numRef>
          </c:val>
        </c:ser>
        <c:ser>
          <c:idx val="1"/>
          <c:order val="1"/>
          <c:tx>
            <c:strRef>
              <c:f>'Data Entry'!$G$123</c:f>
              <c:strCache>
                <c:ptCount val="1"/>
                <c:pt idx="0">
                  <c:v>Achieved </c:v>
                </c:pt>
              </c:strCache>
            </c:strRef>
          </c:tx>
          <c:spPr>
            <a:solidFill>
              <a:srgbClr val="00CCFF"/>
            </a:solidFill>
            <a:ln w="12700">
              <a:solidFill>
                <a:srgbClr val="000000"/>
              </a:solidFill>
              <a:prstDash val="solid"/>
            </a:ln>
          </c:spPr>
          <c:invertIfNegative val="0"/>
          <c:val>
            <c:numRef>
              <c:f>'Data Entry'!$H$123:$S$123</c:f>
              <c:numCache>
                <c:formatCode>#,##0</c:formatCode>
                <c:ptCount val="12"/>
                <c:pt idx="0">
                  <c:v>0.0</c:v>
                </c:pt>
                <c:pt idx="1">
                  <c:v>2.942234E6</c:v>
                </c:pt>
                <c:pt idx="2">
                  <c:v>252723.0</c:v>
                </c:pt>
                <c:pt idx="3">
                  <c:v>5.129002E6</c:v>
                </c:pt>
                <c:pt idx="4">
                  <c:v>1.811109E6</c:v>
                </c:pt>
                <c:pt idx="5">
                  <c:v>1.762766E6</c:v>
                </c:pt>
                <c:pt idx="6">
                  <c:v>2.44071E6</c:v>
                </c:pt>
              </c:numCache>
            </c:numRef>
          </c:val>
        </c:ser>
        <c:dLbls>
          <c:showLegendKey val="0"/>
          <c:showVal val="0"/>
          <c:showCatName val="0"/>
          <c:showSerName val="0"/>
          <c:showPercent val="0"/>
          <c:showBubbleSize val="0"/>
        </c:dLbls>
        <c:gapWidth val="150"/>
        <c:axId val="1582203136"/>
        <c:axId val="-2127710496"/>
      </c:barChart>
      <c:catAx>
        <c:axId val="1582203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2127710496"/>
        <c:crosses val="autoZero"/>
        <c:auto val="1"/>
        <c:lblAlgn val="ctr"/>
        <c:lblOffset val="100"/>
        <c:tickLblSkip val="1"/>
        <c:tickMarkSkip val="1"/>
        <c:noMultiLvlLbl val="0"/>
      </c:catAx>
      <c:valAx>
        <c:axId val="-2127710496"/>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582203136"/>
        <c:crosses val="autoZero"/>
        <c:crossBetween val="between"/>
      </c:valAx>
      <c:spPr>
        <a:noFill/>
        <a:ln w="25400">
          <a:noFill/>
        </a:ln>
      </c:spPr>
    </c:plotArea>
    <c:legend>
      <c:legendPos val="r"/>
      <c:layout>
        <c:manualLayout>
          <c:xMode val="edge"/>
          <c:yMode val="edge"/>
          <c:x val="0.236742085810702"/>
          <c:y val="0.891338582677165"/>
          <c:w val="0.497974931704965"/>
          <c:h val="0.0797129978317927"/>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0.0895526227117345"/>
          <c:w val="0.833140043193296"/>
          <c:h val="0.653207365662063"/>
        </c:manualLayout>
      </c:layout>
      <c:barChart>
        <c:barDir val="col"/>
        <c:grouping val="clustered"/>
        <c:varyColors val="0"/>
        <c:ser>
          <c:idx val="0"/>
          <c:order val="0"/>
          <c:tx>
            <c:strRef>
              <c:f>'Data Entry'!$G$118</c:f>
              <c:strCache>
                <c:ptCount val="1"/>
                <c:pt idx="0">
                  <c:v>Target</c:v>
                </c:pt>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formatCode>0%</c:formatCode>
                <c:ptCount val="12"/>
                <c:pt idx="0">
                  <c:v>0.8</c:v>
                </c:pt>
                <c:pt idx="1">
                  <c:v>0.8</c:v>
                </c:pt>
                <c:pt idx="2">
                  <c:v>0.8</c:v>
                </c:pt>
                <c:pt idx="3">
                  <c:v>0.8</c:v>
                </c:pt>
                <c:pt idx="4">
                  <c:v>0.613</c:v>
                </c:pt>
                <c:pt idx="5">
                  <c:v>0.613</c:v>
                </c:pt>
                <c:pt idx="6">
                  <c:v>0.613</c:v>
                </c:pt>
              </c:numCache>
            </c:numRef>
          </c:val>
        </c:ser>
        <c:ser>
          <c:idx val="1"/>
          <c:order val="1"/>
          <c:tx>
            <c:strRef>
              <c:f>'Data Entry'!$G$119</c:f>
              <c:strCache>
                <c:ptCount val="1"/>
                <c:pt idx="0">
                  <c:v>Achieved </c:v>
                </c:pt>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Entry'!$H$119:$S$119</c:f>
              <c:numCache>
                <c:formatCode>0%</c:formatCode>
                <c:ptCount val="12"/>
                <c:pt idx="0">
                  <c:v>0.799</c:v>
                </c:pt>
                <c:pt idx="1">
                  <c:v>0.595</c:v>
                </c:pt>
                <c:pt idx="2">
                  <c:v>0.58</c:v>
                </c:pt>
                <c:pt idx="3">
                  <c:v>0.57</c:v>
                </c:pt>
                <c:pt idx="4">
                  <c:v>0.535</c:v>
                </c:pt>
                <c:pt idx="5">
                  <c:v>0.535</c:v>
                </c:pt>
                <c:pt idx="6">
                  <c:v>0.563</c:v>
                </c:pt>
              </c:numCache>
            </c:numRef>
          </c:val>
        </c:ser>
        <c:dLbls>
          <c:showLegendKey val="0"/>
          <c:showVal val="0"/>
          <c:showCatName val="0"/>
          <c:showSerName val="0"/>
          <c:showPercent val="0"/>
          <c:showBubbleSize val="0"/>
        </c:dLbls>
        <c:gapWidth val="150"/>
        <c:axId val="-1167351904"/>
        <c:axId val="-2065723328"/>
      </c:barChart>
      <c:catAx>
        <c:axId val="-1167351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2065723328"/>
        <c:crosses val="autoZero"/>
        <c:auto val="1"/>
        <c:lblAlgn val="ctr"/>
        <c:lblOffset val="100"/>
        <c:tickLblSkip val="1"/>
        <c:tickMarkSkip val="1"/>
        <c:noMultiLvlLbl val="0"/>
      </c:catAx>
      <c:valAx>
        <c:axId val="-2065723328"/>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167351904"/>
        <c:crosses val="autoZero"/>
        <c:crossBetween val="between"/>
      </c:valAx>
      <c:spPr>
        <a:noFill/>
        <a:ln w="25400">
          <a:noFill/>
        </a:ln>
      </c:spPr>
    </c:plotArea>
    <c:legend>
      <c:legendPos val="r"/>
      <c:layout>
        <c:manualLayout>
          <c:xMode val="edge"/>
          <c:yMode val="edge"/>
          <c:x val="0.195924473726498"/>
          <c:y val="0.87237113977774"/>
          <c:w val="0.497974931704965"/>
          <c:h val="0.0780169766013291"/>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Disbursements to PR</a:t>
            </a:r>
          </a:p>
        </c:rich>
      </c:tx>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2.3208938575E6</c:v>
                </c:pt>
                <c:pt idx="1">
                  <c:v>1.24469685010606E7</c:v>
                </c:pt>
                <c:pt idx="2">
                  <c:v>2.22508210196211E7</c:v>
                </c:pt>
                <c:pt idx="3">
                  <c:v>3.16299885381817E7</c:v>
                </c:pt>
                <c:pt idx="4">
                  <c:v>4.98926890756923E7</c:v>
                </c:pt>
                <c:pt idx="5">
                  <c:v>5.9598354439203E7</c:v>
                </c:pt>
                <c:pt idx="6">
                  <c:v>6.84961474540371E7</c:v>
                </c:pt>
                <c:pt idx="7">
                  <c:v>0.0</c:v>
                </c:pt>
                <c:pt idx="8">
                  <c:v>0.0</c:v>
                </c:pt>
                <c:pt idx="9">
                  <c:v>0.0</c:v>
                </c:pt>
                <c:pt idx="10">
                  <c:v>0.0</c:v>
                </c:pt>
              </c:numCache>
            </c:numRef>
          </c:val>
        </c:ser>
        <c:ser>
          <c:idx val="1"/>
          <c:order val="1"/>
          <c:tx>
            <c:strRef>
              <c:f>'Data Entry'!$B$34</c:f>
              <c:strCache>
                <c:ptCount val="1"/>
                <c:pt idx="0">
                  <c:v>Cumulative disbursements</c:v>
                </c:pt>
              </c:strCache>
            </c:strRef>
          </c:tx>
          <c:spPr>
            <a:gradFill rotWithShape="0">
              <a:gsLst>
                <a:gs pos="0">
                  <a:srgbClr val="CCFFCC"/>
                </a:gs>
                <a:gs pos="100000">
                  <a:srgbClr val="E3FFE3"/>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0.0</c:v>
                </c:pt>
                <c:pt idx="1">
                  <c:v>1.371597E7</c:v>
                </c:pt>
                <c:pt idx="2">
                  <c:v>1.371597E7</c:v>
                </c:pt>
                <c:pt idx="3">
                  <c:v>3.798550822E7</c:v>
                </c:pt>
                <c:pt idx="4">
                  <c:v>4.41789571E7</c:v>
                </c:pt>
                <c:pt idx="5">
                  <c:v>5.257196429E7</c:v>
                </c:pt>
                <c:pt idx="6">
                  <c:v>5.705911908E7</c:v>
                </c:pt>
                <c:pt idx="7">
                  <c:v>0.0</c:v>
                </c:pt>
                <c:pt idx="8">
                  <c:v>0.0</c:v>
                </c:pt>
                <c:pt idx="9">
                  <c:v>0.0</c:v>
                </c:pt>
                <c:pt idx="10">
                  <c:v>0.0</c:v>
                </c:pt>
              </c:numCache>
            </c:numRef>
          </c:val>
        </c:ser>
        <c:dLbls>
          <c:showLegendKey val="0"/>
          <c:showVal val="0"/>
          <c:showCatName val="0"/>
          <c:showSerName val="0"/>
          <c:showPercent val="0"/>
          <c:showBubbleSize val="0"/>
        </c:dLbls>
        <c:dropLines>
          <c:spPr>
            <a:ln w="3175">
              <a:solidFill>
                <a:srgbClr val="000000"/>
              </a:solidFill>
              <a:prstDash val="solid"/>
            </a:ln>
          </c:spPr>
        </c:dropLines>
        <c:axId val="-2065800992"/>
        <c:axId val="-2069329552"/>
      </c:areaChart>
      <c:catAx>
        <c:axId val="-2065800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2069329552"/>
        <c:crosses val="autoZero"/>
        <c:auto val="1"/>
        <c:lblAlgn val="ctr"/>
        <c:lblOffset val="100"/>
        <c:tickLblSkip val="8"/>
        <c:tickMarkSkip val="1"/>
        <c:noMultiLvlLbl val="0"/>
      </c:catAx>
      <c:valAx>
        <c:axId val="-2069329552"/>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rPr lang="en-US"/>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065800992"/>
        <c:crosses val="autoZero"/>
        <c:crossBetween val="midCat"/>
      </c:valAx>
      <c:spPr>
        <a:solidFill>
          <a:srgbClr val="FFFFFF"/>
        </a:solidFill>
        <a:ln w="3175">
          <a:solidFill>
            <a:srgbClr val="000000"/>
          </a:solidFill>
          <a:prstDash val="solid"/>
        </a:ln>
      </c:spPr>
    </c:plotArea>
    <c:legend>
      <c:legendPos val="r"/>
      <c:layout>
        <c:manualLayout>
          <c:xMode val="edge"/>
          <c:yMode val="edge"/>
          <c:x val="0.0"/>
          <c:y val="0.0"/>
          <c:w val="0.0"/>
          <c:h val="0.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7"/>
          <c:y val="0.0756940158114746"/>
          <c:w val="0.743668245722586"/>
          <c:h val="0.580320787887972"/>
        </c:manualLayout>
      </c:layout>
      <c:barChart>
        <c:barDir val="col"/>
        <c:grouping val="stacked"/>
        <c:varyColors val="0"/>
        <c:ser>
          <c:idx val="0"/>
          <c:order val="0"/>
          <c:spPr>
            <a:solidFill>
              <a:srgbClr val="376092"/>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Entry'!$C$52:$C$55</c:f>
              <c:numCache>
                <c:formatCode>#,##0</c:formatCode>
                <c:ptCount val="4"/>
                <c:pt idx="0">
                  <c:v>8.393007E6</c:v>
                </c:pt>
                <c:pt idx="1">
                  <c:v>1.5928857999E7</c:v>
                </c:pt>
                <c:pt idx="2">
                  <c:v>258157.0</c:v>
                </c:pt>
                <c:pt idx="3">
                  <c:v>251841.22</c:v>
                </c:pt>
              </c:numCache>
            </c:numRef>
          </c:val>
        </c:ser>
        <c:ser>
          <c:idx val="1"/>
          <c:order val="1"/>
          <c:spPr>
            <a:solidFill>
              <a:srgbClr val="93CDDD"/>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Entry'!$D$52:$D$55</c:f>
              <c:numCache>
                <c:formatCode>#,##0</c:formatCode>
                <c:ptCount val="4"/>
                <c:pt idx="0">
                  <c:v>4.48715479E6</c:v>
                </c:pt>
                <c:pt idx="1">
                  <c:v>7.72236941E6</c:v>
                </c:pt>
                <c:pt idx="2">
                  <c:v>0.0</c:v>
                </c:pt>
                <c:pt idx="3">
                  <c:v>0.0</c:v>
                </c:pt>
              </c:numCache>
            </c:numRef>
          </c:val>
        </c:ser>
        <c:dLbls>
          <c:showLegendKey val="0"/>
          <c:showVal val="0"/>
          <c:showCatName val="0"/>
          <c:showSerName val="0"/>
          <c:showPercent val="0"/>
          <c:showBubbleSize val="0"/>
        </c:dLbls>
        <c:gapWidth val="150"/>
        <c:overlap val="100"/>
        <c:axId val="-942417856"/>
        <c:axId val="-942414640"/>
      </c:barChart>
      <c:catAx>
        <c:axId val="-94241785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942414640"/>
        <c:crossesAt val="0.0"/>
        <c:auto val="1"/>
        <c:lblAlgn val="ctr"/>
        <c:lblOffset val="100"/>
        <c:noMultiLvlLbl val="0"/>
      </c:catAx>
      <c:valAx>
        <c:axId val="-942414640"/>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42417856"/>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0" l="0.75" r="0.75" t="1.0"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
          <c:y val="0.0938775510204081"/>
          <c:w val="0.84029484029484"/>
          <c:h val="0.53469387755102"/>
        </c:manualLayout>
      </c:layout>
      <c:barChart>
        <c:barDir val="col"/>
        <c:grouping val="clustered"/>
        <c:varyColors val="0"/>
        <c:ser>
          <c:idx val="0"/>
          <c:order val="0"/>
          <c:spPr>
            <a:solidFill>
              <a:srgbClr val="993366"/>
            </a:solidFill>
            <a:ln w="3175">
              <a:solidFill>
                <a:srgbClr val="000000"/>
              </a:solidFill>
              <a:prstDash val="solid"/>
            </a:ln>
            <a:effectLst>
              <a:outerShdw dist="35921" dir="2700000" algn="br">
                <a:srgbClr val="000000"/>
              </a:outerShdw>
            </a:effectLst>
          </c:spPr>
          <c:invertIfNegative val="0"/>
          <c:cat>
            <c:strRef>
              <c:f>'Data Entry'!$B$39:$B$43</c:f>
              <c:strCache>
                <c:ptCount val="5"/>
                <c:pt idx="0">
                  <c:v>Vector control</c:v>
                </c:pt>
                <c:pt idx="1">
                  <c:v>Case management</c:v>
                </c:pt>
                <c:pt idx="2">
                  <c:v>Specific prevention interventions (SPI)</c:v>
                </c:pt>
                <c:pt idx="3">
                  <c:v>HSS - Health information systems and M&amp;E</c:v>
                </c:pt>
                <c:pt idx="4">
                  <c:v>HSS - Financial management</c:v>
                </c:pt>
              </c:strCache>
            </c:strRef>
          </c:cat>
          <c:val>
            <c:numRef>
              <c:f>'Data Entry'!$C$39:$C$43</c:f>
              <c:numCache>
                <c:formatCode>#,##0</c:formatCode>
                <c:ptCount val="5"/>
                <c:pt idx="0">
                  <c:v>2.86459698646302E7</c:v>
                </c:pt>
                <c:pt idx="1">
                  <c:v>2.90886911992165E7</c:v>
                </c:pt>
                <c:pt idx="2">
                  <c:v>3.4409887765097E6</c:v>
                </c:pt>
                <c:pt idx="3">
                  <c:v>5.05356719457657E6</c:v>
                </c:pt>
                <c:pt idx="4">
                  <c:v>217504.0077357505</c:v>
                </c:pt>
              </c:numCache>
            </c:numRef>
          </c:val>
        </c:ser>
        <c:ser>
          <c:idx val="1"/>
          <c:order val="1"/>
          <c:spPr>
            <a:solidFill>
              <a:srgbClr val="CCC1DA"/>
            </a:solidFill>
            <a:ln w="3175">
              <a:solidFill>
                <a:srgbClr val="800000"/>
              </a:solidFill>
              <a:prstDash val="solid"/>
            </a:ln>
            <a:effectLst>
              <a:outerShdw dist="35921" dir="2700000" algn="br">
                <a:srgbClr val="000000"/>
              </a:outerShdw>
            </a:effectLst>
          </c:spPr>
          <c:invertIfNegative val="0"/>
          <c:cat>
            <c:strRef>
              <c:f>'Data Entry'!$B$39:$B$43</c:f>
              <c:strCache>
                <c:ptCount val="5"/>
                <c:pt idx="0">
                  <c:v>Vector control</c:v>
                </c:pt>
                <c:pt idx="1">
                  <c:v>Case management</c:v>
                </c:pt>
                <c:pt idx="2">
                  <c:v>Specific prevention interventions (SPI)</c:v>
                </c:pt>
                <c:pt idx="3">
                  <c:v>HSS - Health information systems and M&amp;E</c:v>
                </c:pt>
                <c:pt idx="4">
                  <c:v>HSS - Financial management</c:v>
                </c:pt>
              </c:strCache>
            </c:strRef>
          </c:cat>
          <c:val>
            <c:numRef>
              <c:f>'Data Entry'!$D$39:$D$43</c:f>
              <c:numCache>
                <c:formatCode>#,##0</c:formatCode>
                <c:ptCount val="5"/>
                <c:pt idx="0">
                  <c:v>2.9441754333287E7</c:v>
                </c:pt>
                <c:pt idx="1">
                  <c:v>1.71243356658947E7</c:v>
                </c:pt>
                <c:pt idx="2">
                  <c:v>2.25913284E6</c:v>
                </c:pt>
                <c:pt idx="3">
                  <c:v>4.19423103E6</c:v>
                </c:pt>
                <c:pt idx="4">
                  <c:v>316505.62</c:v>
                </c:pt>
              </c:numCache>
            </c:numRef>
          </c:val>
        </c:ser>
        <c:dLbls>
          <c:showLegendKey val="0"/>
          <c:showVal val="0"/>
          <c:showCatName val="0"/>
          <c:showSerName val="0"/>
          <c:showPercent val="0"/>
          <c:showBubbleSize val="0"/>
        </c:dLbls>
        <c:gapWidth val="150"/>
        <c:axId val="-945312816"/>
        <c:axId val="-945309776"/>
      </c:barChart>
      <c:catAx>
        <c:axId val="-945312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945309776"/>
        <c:crosses val="autoZero"/>
        <c:auto val="1"/>
        <c:lblAlgn val="ctr"/>
        <c:lblOffset val="100"/>
        <c:tickMarkSkip val="1"/>
        <c:noMultiLvlLbl val="0"/>
      </c:catAx>
      <c:valAx>
        <c:axId val="-94530977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945312816"/>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0614407415261908"/>
          <c:y val="0.195653558463248"/>
          <c:w val="0.868644966404767"/>
          <c:h val="0.420292829291421"/>
        </c:manualLayout>
      </c:layout>
      <c:barChart>
        <c:barDir val="bar"/>
        <c:grouping val="percentStacked"/>
        <c:varyColors val="0"/>
        <c:ser>
          <c:idx val="0"/>
          <c:order val="0"/>
          <c:tx>
            <c:strRef>
              <c:f>'Data Entry'!$C$78</c:f>
              <c:strCache>
                <c:ptCount val="1"/>
                <c:pt idx="0">
                  <c:v>Planned</c:v>
                </c:pt>
              </c:strCache>
            </c:strRef>
          </c:tx>
          <c:spPr>
            <a:noFill/>
            <a:ln w="25400">
              <a:noFill/>
            </a:ln>
            <a:effectLst>
              <a:outerShdw dist="35921" dir="2700000" algn="br">
                <a:srgbClr val="000000"/>
              </a:outerShdw>
            </a:effectLst>
          </c:spPr>
          <c:invertIfNegative val="0"/>
          <c:dLbls>
            <c:dLbl>
              <c:idx val="0"/>
              <c:layout>
                <c:manualLayout>
                  <c:x val="0.257560132420893"/>
                  <c:y val="-0.296113707617182"/>
                </c:manualLayout>
              </c:layout>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1"/>
              <c:showPercent val="0"/>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'Data Entry'!$C$79</c:f>
              <c:numCache>
                <c:formatCode>General</c:formatCode>
                <c:ptCount val="1"/>
                <c:pt idx="0">
                  <c:v>6.0</c:v>
                </c:pt>
              </c:numCache>
            </c:numRef>
          </c:val>
        </c:ser>
        <c:dLbls>
          <c:showLegendKey val="0"/>
          <c:showVal val="0"/>
          <c:showCatName val="0"/>
          <c:showSerName val="0"/>
          <c:showPercent val="0"/>
          <c:showBubbleSize val="0"/>
        </c:dLbls>
        <c:gapWidth val="79"/>
        <c:overlap val="100"/>
        <c:axId val="-941340576"/>
        <c:axId val="-941614160"/>
      </c:barChart>
      <c:barChart>
        <c:barDir val="bar"/>
        <c:grouping val="percentStacked"/>
        <c:varyColors val="0"/>
        <c:ser>
          <c:idx val="1"/>
          <c:order val="1"/>
          <c:tx>
            <c:strRef>
              <c:f>'Data Entry'!$D$78</c:f>
              <c:strCache>
                <c:ptCount val="1"/>
                <c:pt idx="0">
                  <c:v>Filled</c:v>
                </c:pt>
              </c:strCache>
            </c:strRef>
          </c:tx>
          <c:spPr>
            <a:solidFill>
              <a:srgbClr val="99CC00"/>
            </a:solidFill>
            <a:ln w="25400">
              <a:noFill/>
            </a:ln>
            <a:effectLst>
              <a:outerShdw dist="35921" dir="2700000" algn="br">
                <a:srgbClr val="000000"/>
              </a:outerShdw>
            </a:effectLst>
          </c:spPr>
          <c:invertIfNegative val="0"/>
          <c:dLbls>
            <c:numFmt formatCode="#,##0" sourceLinked="0"/>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Entry'!$D$79</c:f>
              <c:numCache>
                <c:formatCode>General</c:formatCode>
                <c:ptCount val="1"/>
                <c:pt idx="0">
                  <c:v>6.0</c:v>
                </c:pt>
              </c:numCache>
            </c:numRef>
          </c:val>
        </c:ser>
        <c:ser>
          <c:idx val="2"/>
          <c:order val="2"/>
          <c:tx>
            <c:strRef>
              <c:f>'Data Entry'!$E$78</c:f>
              <c:strCache>
                <c:ptCount val="1"/>
                <c:pt idx="0">
                  <c:v>Vacant</c:v>
                </c:pt>
              </c:strCache>
            </c:strRef>
          </c:tx>
          <c:spPr>
            <a:solidFill>
              <a:srgbClr val="FF7171"/>
            </a:solidFill>
            <a:ln w="25400">
              <a:noFill/>
            </a:ln>
            <a:effectLst>
              <a:outerShdw dist="35921" dir="2700000" algn="br">
                <a:srgbClr val="000000"/>
              </a:outerShdw>
            </a:effectLst>
          </c:spPr>
          <c:invertIfNegative val="0"/>
          <c:dLbls>
            <c:numFmt formatCode="#,##0" sourceLinked="0"/>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Entry'!$E$79</c:f>
              <c:numCache>
                <c:formatCode>General</c:formatCode>
                <c:ptCount val="1"/>
                <c:pt idx="0">
                  <c:v>0.0</c:v>
                </c:pt>
              </c:numCache>
            </c:numRef>
          </c:val>
        </c:ser>
        <c:dLbls>
          <c:showLegendKey val="0"/>
          <c:showVal val="0"/>
          <c:showCatName val="0"/>
          <c:showSerName val="0"/>
          <c:showPercent val="0"/>
          <c:showBubbleSize val="0"/>
        </c:dLbls>
        <c:gapWidth val="191"/>
        <c:overlap val="100"/>
        <c:axId val="-941610848"/>
        <c:axId val="-941608096"/>
      </c:barChart>
      <c:catAx>
        <c:axId val="-941340576"/>
        <c:scaling>
          <c:orientation val="minMax"/>
        </c:scaling>
        <c:delete val="1"/>
        <c:axPos val="l"/>
        <c:majorTickMark val="out"/>
        <c:minorTickMark val="none"/>
        <c:tickLblPos val="nextTo"/>
        <c:crossAx val="-941614160"/>
        <c:crosses val="autoZero"/>
        <c:auto val="1"/>
        <c:lblAlgn val="ctr"/>
        <c:lblOffset val="100"/>
        <c:noMultiLvlLbl val="0"/>
      </c:catAx>
      <c:valAx>
        <c:axId val="-941614160"/>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941340576"/>
        <c:crosses val="max"/>
        <c:crossBetween val="between"/>
      </c:valAx>
      <c:catAx>
        <c:axId val="-941610848"/>
        <c:scaling>
          <c:orientation val="minMax"/>
        </c:scaling>
        <c:delete val="1"/>
        <c:axPos val="l"/>
        <c:majorTickMark val="out"/>
        <c:minorTickMark val="none"/>
        <c:tickLblPos val="nextTo"/>
        <c:crossAx val="-941608096"/>
        <c:crosses val="autoZero"/>
        <c:auto val="0"/>
        <c:lblAlgn val="ctr"/>
        <c:lblOffset val="100"/>
        <c:noMultiLvlLbl val="0"/>
      </c:catAx>
      <c:valAx>
        <c:axId val="-941608096"/>
        <c:scaling>
          <c:orientation val="minMax"/>
        </c:scaling>
        <c:delete val="0"/>
        <c:axPos val="b"/>
        <c:numFmt formatCode="0%" sourceLinked="0"/>
        <c:majorTickMark val="none"/>
        <c:minorTickMark val="none"/>
        <c:tickLblPos val="none"/>
        <c:spPr>
          <a:ln w="3175">
            <a:solidFill>
              <a:srgbClr val="000000"/>
            </a:solidFill>
            <a:prstDash val="solid"/>
          </a:ln>
        </c:spPr>
        <c:crossAx val="-941610848"/>
        <c:crosses val="autoZero"/>
        <c:crossBetween val="between"/>
      </c:valAx>
      <c:spPr>
        <a:solidFill>
          <a:srgbClr val="FFFFFF"/>
        </a:solidFill>
        <a:ln w="25400">
          <a:noFill/>
        </a:ln>
      </c:spPr>
    </c:plotArea>
    <c:legend>
      <c:legendPos val="r"/>
      <c:legendEntry>
        <c:idx val="0"/>
        <c:delete val="1"/>
      </c:legendEntry>
      <c:layout>
        <c:manualLayout>
          <c:xMode val="edge"/>
          <c:yMode val="edge"/>
          <c:x val="0.300257517438112"/>
          <c:y val="0.767019341028973"/>
          <c:w val="0.166258181747133"/>
          <c:h val="0.145636419234003"/>
        </c:manualLayout>
      </c:layout>
      <c:overlay val="0"/>
      <c:spPr>
        <a:noFill/>
        <a:ln w="25400">
          <a:noFill/>
        </a:ln>
      </c:spPr>
      <c:txPr>
        <a:bodyPr/>
        <a:lstStyle/>
        <a:p>
          <a:pPr>
            <a:defRPr sz="57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709382151029748"/>
          <c:y val="0.136612750879178"/>
          <c:w val="0.897025171624714"/>
          <c:h val="0.606560613903549"/>
        </c:manualLayout>
      </c:layout>
      <c:barChart>
        <c:barDir val="col"/>
        <c:grouping val="clustered"/>
        <c:varyColors val="0"/>
        <c:ser>
          <c:idx val="0"/>
          <c:order val="0"/>
          <c:tx>
            <c:strRef>
              <c:f>'Data Entry'!$C$83</c:f>
              <c:strCache>
                <c:ptCount val="1"/>
                <c:pt idx="0">
                  <c:v>Identified</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Entry'!$C$84</c:f>
              <c:numCache>
                <c:formatCode>General</c:formatCode>
                <c:ptCount val="1"/>
                <c:pt idx="0">
                  <c:v>61.0</c:v>
                </c:pt>
              </c:numCache>
            </c:numRef>
          </c:val>
        </c:ser>
        <c:ser>
          <c:idx val="1"/>
          <c:order val="1"/>
          <c:tx>
            <c:strRef>
              <c:f>'Data Entry'!$D$83</c:f>
              <c:strCache>
                <c:ptCount val="1"/>
                <c:pt idx="0">
                  <c:v>Assessed</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Entry'!$D$84</c:f>
              <c:numCache>
                <c:formatCode>General</c:formatCode>
                <c:ptCount val="1"/>
                <c:pt idx="0">
                  <c:v>61.0</c:v>
                </c:pt>
              </c:numCache>
            </c:numRef>
          </c:val>
        </c:ser>
        <c:ser>
          <c:idx val="2"/>
          <c:order val="2"/>
          <c:tx>
            <c:strRef>
              <c:f>'Data Entry'!$E$83</c:f>
              <c:strCache>
                <c:ptCount val="1"/>
                <c:pt idx="0">
                  <c:v>Approved</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Entry'!$E$84</c:f>
              <c:numCache>
                <c:formatCode>General</c:formatCode>
                <c:ptCount val="1"/>
                <c:pt idx="0">
                  <c:v>33.0</c:v>
                </c:pt>
              </c:numCache>
            </c:numRef>
          </c:val>
        </c:ser>
        <c:ser>
          <c:idx val="3"/>
          <c:order val="3"/>
          <c:tx>
            <c:strRef>
              <c:f>'Data Entry'!$F$83</c:f>
              <c:strCache>
                <c:ptCount val="1"/>
                <c:pt idx="0">
                  <c:v>Signed</c:v>
                </c:pt>
              </c:strCache>
            </c:strRef>
          </c:tx>
          <c:spPr>
            <a:solidFill>
              <a:srgbClr val="80808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Entry'!$F$84</c:f>
              <c:numCache>
                <c:formatCode>General</c:formatCode>
                <c:ptCount val="1"/>
                <c:pt idx="0">
                  <c:v>33.0</c:v>
                </c:pt>
              </c:numCache>
            </c:numRef>
          </c:val>
        </c:ser>
        <c:ser>
          <c:idx val="4"/>
          <c:order val="4"/>
          <c:tx>
            <c:strRef>
              <c:f>'Data Entry'!$G$83</c:f>
              <c:strCache>
                <c:ptCount val="1"/>
                <c:pt idx="0">
                  <c:v>Receiving Funding</c:v>
                </c:pt>
              </c:strCache>
            </c:strRef>
          </c:tx>
          <c:spPr>
            <a:solidFill>
              <a:srgbClr val="333333"/>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Entry'!$G$84</c:f>
              <c:numCache>
                <c:formatCode>General</c:formatCode>
                <c:ptCount val="1"/>
                <c:pt idx="0">
                  <c:v>33.0</c:v>
                </c:pt>
              </c:numCache>
            </c:numRef>
          </c:val>
        </c:ser>
        <c:dLbls>
          <c:showLegendKey val="0"/>
          <c:showVal val="0"/>
          <c:showCatName val="0"/>
          <c:showSerName val="0"/>
          <c:showPercent val="0"/>
          <c:showBubbleSize val="0"/>
        </c:dLbls>
        <c:gapWidth val="150"/>
        <c:overlap val="-20"/>
        <c:axId val="-2104018400"/>
        <c:axId val="-942341568"/>
      </c:barChart>
      <c:catAx>
        <c:axId val="-2104018400"/>
        <c:scaling>
          <c:orientation val="minMax"/>
        </c:scaling>
        <c:delete val="0"/>
        <c:axPos val="b"/>
        <c:majorTickMark val="none"/>
        <c:minorTickMark val="none"/>
        <c:tickLblPos val="none"/>
        <c:spPr>
          <a:ln w="3175">
            <a:solidFill>
              <a:srgbClr val="000000"/>
            </a:solidFill>
            <a:prstDash val="solid"/>
          </a:ln>
        </c:spPr>
        <c:crossAx val="-942341568"/>
        <c:crosses val="autoZero"/>
        <c:auto val="0"/>
        <c:lblAlgn val="ctr"/>
        <c:lblOffset val="100"/>
        <c:tickMarkSkip val="1"/>
        <c:noMultiLvlLbl val="0"/>
      </c:catAx>
      <c:valAx>
        <c:axId val="-94234156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04018400"/>
        <c:crosses val="autoZero"/>
        <c:crossBetween val="between"/>
      </c:valAx>
      <c:spPr>
        <a:noFill/>
        <a:ln w="25400">
          <a:noFill/>
        </a:ln>
      </c:spPr>
    </c:plotArea>
    <c:legend>
      <c:legendPos val="r"/>
      <c:layout>
        <c:manualLayout>
          <c:xMode val="edge"/>
          <c:yMode val="edge"/>
          <c:x val="0.147143684696089"/>
          <c:y val="0.832147249841945"/>
          <c:w val="0.738443648222446"/>
          <c:h val="0.102193804241623"/>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
          <c:y val="0.056"/>
          <c:w val="0.544622425629291"/>
          <c:h val="0.56"/>
        </c:manualLayout>
      </c:layout>
      <c:barChart>
        <c:barDir val="bar"/>
        <c:grouping val="percentStacked"/>
        <c:varyColors val="0"/>
        <c:ser>
          <c:idx val="0"/>
          <c:order val="0"/>
          <c:tx>
            <c:strRef>
              <c:f>'Data Entry'!$D$71</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Entry'!$B$72:$B$73</c:f>
              <c:strCache>
                <c:ptCount val="2"/>
                <c:pt idx="0">
                  <c:v>Conditions precedent (CPs)</c:v>
                </c:pt>
                <c:pt idx="1">
                  <c:v>Time Bound Actions (TBAs)</c:v>
                </c:pt>
              </c:strCache>
            </c:strRef>
          </c:cat>
          <c:val>
            <c:numRef>
              <c:f>'Data Entry'!$D$72:$D$73</c:f>
              <c:numCache>
                <c:formatCode>0</c:formatCode>
                <c:ptCount val="2"/>
                <c:pt idx="0">
                  <c:v>3.0</c:v>
                </c:pt>
                <c:pt idx="1">
                  <c:v>0.0</c:v>
                </c:pt>
              </c:numCache>
            </c:numRef>
          </c:val>
        </c:ser>
        <c:ser>
          <c:idx val="1"/>
          <c:order val="1"/>
          <c:tx>
            <c:strRef>
              <c:f>'Data Entry'!$E$71</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Entry'!$B$72:$B$73</c:f>
              <c:strCache>
                <c:ptCount val="2"/>
                <c:pt idx="0">
                  <c:v>Conditions precedent (CPs)</c:v>
                </c:pt>
                <c:pt idx="1">
                  <c:v>Time Bound Actions (TBAs)</c:v>
                </c:pt>
              </c:strCache>
            </c:strRef>
          </c:cat>
          <c:val>
            <c:numRef>
              <c:f>'Data Entry'!$E$72:$E$73</c:f>
              <c:numCache>
                <c:formatCode>0</c:formatCode>
                <c:ptCount val="2"/>
                <c:pt idx="0">
                  <c:v>3.0</c:v>
                </c:pt>
                <c:pt idx="1">
                  <c:v>0.0</c:v>
                </c:pt>
              </c:numCache>
            </c:numRef>
          </c:val>
        </c:ser>
        <c:ser>
          <c:idx val="2"/>
          <c:order val="2"/>
          <c:tx>
            <c:strRef>
              <c:f>'Data Entry'!$F$71</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Entry'!$B$72:$B$73</c:f>
              <c:strCache>
                <c:ptCount val="2"/>
                <c:pt idx="0">
                  <c:v>Conditions precedent (CPs)</c:v>
                </c:pt>
                <c:pt idx="1">
                  <c:v>Time Bound Actions (TBAs)</c:v>
                </c:pt>
              </c:strCache>
            </c:strRef>
          </c:cat>
          <c:val>
            <c:numRef>
              <c:f>'Data Entry'!$F$72:$F$73</c:f>
              <c:numCache>
                <c:formatCode>0</c:formatCode>
                <c:ptCount val="2"/>
                <c:pt idx="0">
                  <c:v>0.0</c:v>
                </c:pt>
                <c:pt idx="1">
                  <c:v>0.0</c:v>
                </c:pt>
              </c:numCache>
            </c:numRef>
          </c:val>
        </c:ser>
        <c:dLbls>
          <c:showLegendKey val="0"/>
          <c:showVal val="0"/>
          <c:showCatName val="0"/>
          <c:showSerName val="0"/>
          <c:showPercent val="0"/>
          <c:showBubbleSize val="0"/>
        </c:dLbls>
        <c:gapWidth val="70"/>
        <c:overlap val="100"/>
        <c:axId val="-941530672"/>
        <c:axId val="-942369792"/>
      </c:barChart>
      <c:catAx>
        <c:axId val="-94153067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42369792"/>
        <c:crosses val="autoZero"/>
        <c:auto val="1"/>
        <c:lblAlgn val="ctr"/>
        <c:lblOffset val="100"/>
        <c:tickLblSkip val="1"/>
        <c:tickMarkSkip val="1"/>
        <c:noMultiLvlLbl val="0"/>
      </c:catAx>
      <c:valAx>
        <c:axId val="-942369792"/>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41530672"/>
        <c:crosses val="autoZero"/>
        <c:crossBetween val="between"/>
      </c:valAx>
      <c:spPr>
        <a:noFill/>
        <a:ln w="25400">
          <a:noFill/>
        </a:ln>
      </c:spPr>
    </c:plotArea>
    <c:legend>
      <c:legendPos val="r"/>
      <c:layout>
        <c:manualLayout>
          <c:xMode val="edge"/>
          <c:yMode val="edge"/>
          <c:x val="0.0239370078740157"/>
          <c:y val="0.787265873680683"/>
          <c:w val="0.827154255319149"/>
          <c:h val="0.148942033841514"/>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
          <c:y val="0.121547289222444"/>
          <c:w val="0.603273188413033"/>
          <c:h val="0.552487678283835"/>
        </c:manualLayout>
      </c:layout>
      <c:barChart>
        <c:barDir val="bar"/>
        <c:grouping val="percentStacked"/>
        <c:varyColors val="0"/>
        <c:ser>
          <c:idx val="1"/>
          <c:order val="0"/>
          <c:tx>
            <c:strRef>
              <c:f>'Data Entry'!$D$88</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Entry'!$B$89:$B$90</c:f>
              <c:strCache>
                <c:ptCount val="2"/>
                <c:pt idx="0">
                  <c:v>SSR to SR</c:v>
                </c:pt>
                <c:pt idx="1">
                  <c:v>SRs to PR</c:v>
                </c:pt>
              </c:strCache>
            </c:strRef>
          </c:cat>
          <c:val>
            <c:numRef>
              <c:f>'Data Entry'!$D$89:$D$90</c:f>
              <c:numCache>
                <c:formatCode>0</c:formatCode>
                <c:ptCount val="2"/>
                <c:pt idx="0">
                  <c:v>0.0</c:v>
                </c:pt>
                <c:pt idx="1">
                  <c:v>0.0</c:v>
                </c:pt>
              </c:numCache>
            </c:numRef>
          </c:val>
        </c:ser>
        <c:ser>
          <c:idx val="2"/>
          <c:order val="1"/>
          <c:tx>
            <c:strRef>
              <c:f>'Data Entry'!$E$88</c:f>
              <c:strCache>
                <c:ptCount val="1"/>
                <c:pt idx="0">
                  <c:v>Pending</c:v>
                </c:pt>
              </c:strCache>
            </c:strRef>
          </c:tx>
          <c:spPr>
            <a:solidFill>
              <a:srgbClr val="FF5050"/>
            </a:solidFill>
            <a:ln w="25400">
              <a:noFill/>
            </a:ln>
            <a:effectLst>
              <a:outerShdw dist="35921" dir="2700000" algn="br">
                <a:srgbClr val="000000"/>
              </a:outerShdw>
            </a:effectLst>
          </c:spPr>
          <c:invertIfNegative val="0"/>
          <c:dLbls>
            <c:dLbl>
              <c:idx val="1"/>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Entry'!$B$89:$B$90</c:f>
              <c:strCache>
                <c:ptCount val="2"/>
                <c:pt idx="0">
                  <c:v>SSR to SR</c:v>
                </c:pt>
                <c:pt idx="1">
                  <c:v>SRs to PR</c:v>
                </c:pt>
              </c:strCache>
            </c:strRef>
          </c:cat>
          <c:val>
            <c:numRef>
              <c:f>'Data Entry'!$E$89:$E$90</c:f>
              <c:numCache>
                <c:formatCode>General</c:formatCode>
                <c:ptCount val="2"/>
                <c:pt idx="0" formatCode="0">
                  <c:v>0.0</c:v>
                </c:pt>
                <c:pt idx="1">
                  <c:v>0.0</c:v>
                </c:pt>
              </c:numCache>
            </c:numRef>
          </c:val>
        </c:ser>
        <c:dLbls>
          <c:showLegendKey val="0"/>
          <c:showVal val="0"/>
          <c:showCatName val="0"/>
          <c:showSerName val="0"/>
          <c:showPercent val="0"/>
          <c:showBubbleSize val="0"/>
        </c:dLbls>
        <c:gapWidth val="101"/>
        <c:overlap val="100"/>
        <c:axId val="1590531616"/>
        <c:axId val="-2069631792"/>
      </c:barChart>
      <c:catAx>
        <c:axId val="159053161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069631792"/>
        <c:crosses val="autoZero"/>
        <c:auto val="1"/>
        <c:lblAlgn val="ctr"/>
        <c:lblOffset val="100"/>
        <c:noMultiLvlLbl val="0"/>
      </c:catAx>
      <c:valAx>
        <c:axId val="-2069631792"/>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590531616"/>
        <c:crosses val="max"/>
        <c:crossBetween val="between"/>
      </c:valAx>
      <c:spPr>
        <a:solidFill>
          <a:srgbClr val="FFFFFF"/>
        </a:solidFill>
        <a:ln w="25400">
          <a:noFill/>
        </a:ln>
      </c:spPr>
    </c:plotArea>
    <c:legend>
      <c:legendPos val="r"/>
      <c:legendEntry>
        <c:idx val="0"/>
        <c:txPr>
          <a:bodyPr/>
          <a:lstStyle/>
          <a:p>
            <a:pPr>
              <a:defRPr sz="570" b="0" i="0" u="none" strike="noStrike" baseline="0">
                <a:solidFill>
                  <a:srgbClr val="000000"/>
                </a:solidFill>
                <a:latin typeface="Calibri"/>
                <a:ea typeface="Calibri"/>
                <a:cs typeface="Calibri"/>
              </a:defRPr>
            </a:pPr>
            <a:endParaRPr lang="en-US"/>
          </a:p>
        </c:txPr>
      </c:legendEntry>
      <c:legendEntry>
        <c:idx val="1"/>
        <c:txPr>
          <a:bodyPr/>
          <a:lstStyle/>
          <a:p>
            <a:pPr>
              <a:defRPr sz="570" b="0" i="0" u="none" strike="noStrike" baseline="0">
                <a:solidFill>
                  <a:srgbClr val="000000"/>
                </a:solidFill>
                <a:latin typeface="Calibri"/>
                <a:ea typeface="Calibri"/>
                <a:cs typeface="Calibri"/>
              </a:defRPr>
            </a:pPr>
            <a:endParaRPr lang="en-US"/>
          </a:p>
        </c:txPr>
      </c:legendEntry>
      <c:layout>
        <c:manualLayout>
          <c:xMode val="edge"/>
          <c:yMode val="edge"/>
          <c:x val="0.35176967514739"/>
          <c:y val="0.786792496526169"/>
          <c:w val="0.306542159616982"/>
          <c:h val="0.139710514126911"/>
        </c:manualLayout>
      </c:layout>
      <c:overlay val="0"/>
      <c:spPr>
        <a:noFill/>
        <a:ln w="25400">
          <a:noFill/>
        </a:ln>
      </c:spPr>
      <c:txPr>
        <a:bodyPr/>
        <a:lstStyle/>
        <a:p>
          <a:pPr>
            <a:defRPr sz="57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0" l="0.75" r="0.75" t="1.0"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
          <c:y val="0.10989010989011"/>
          <c:w val="0.810947243633502"/>
          <c:h val="0.543956043956044"/>
        </c:manualLayout>
      </c:layout>
      <c:lineChart>
        <c:grouping val="standard"/>
        <c:varyColors val="0"/>
        <c:ser>
          <c:idx val="0"/>
          <c:order val="0"/>
          <c:tx>
            <c:strRef>
              <c:f>'Data Entry'!$B$98</c:f>
              <c:strCache>
                <c:ptCount val="1"/>
                <c:pt idx="0">
                  <c:v>Budget Approved cumulative*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Entry'!$C$98:$N$98</c:f>
              <c:numCache>
                <c:formatCode>#,##0</c:formatCode>
                <c:ptCount val="12"/>
                <c:pt idx="0">
                  <c:v>0.0</c:v>
                </c:pt>
                <c:pt idx="1">
                  <c:v>7.866505E6</c:v>
                </c:pt>
                <c:pt idx="2">
                  <c:v>1.573301E7</c:v>
                </c:pt>
                <c:pt idx="3">
                  <c:v>2.3599515E7</c:v>
                </c:pt>
                <c:pt idx="4">
                  <c:v>3.6426955E7</c:v>
                </c:pt>
                <c:pt idx="5">
                  <c:v>4.0624714E7</c:v>
                </c:pt>
                <c:pt idx="6">
                  <c:v>4.6079698E7</c:v>
                </c:pt>
                <c:pt idx="7">
                  <c:v>4.6079698E7</c:v>
                </c:pt>
                <c:pt idx="8">
                  <c:v>4.6079698E7</c:v>
                </c:pt>
                <c:pt idx="9">
                  <c:v>4.6079698E7</c:v>
                </c:pt>
                <c:pt idx="10">
                  <c:v>4.6079698E7</c:v>
                </c:pt>
                <c:pt idx="11">
                  <c:v>4.6079698E7</c:v>
                </c:pt>
              </c:numCache>
            </c:numRef>
          </c:val>
          <c:smooth val="0"/>
        </c:ser>
        <c:ser>
          <c:idx val="1"/>
          <c:order val="1"/>
          <c:tx>
            <c:strRef>
              <c:f>'Data Entry'!$B$99</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Entry'!$C$99:$N$99</c:f>
              <c:numCache>
                <c:formatCode>#,##0</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mooth val="0"/>
        </c:ser>
        <c:ser>
          <c:idx val="2"/>
          <c:order val="2"/>
          <c:tx>
            <c:strRef>
              <c:f>'Data Entry'!$B$100</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Entry'!$C$100:$N$100</c:f>
              <c:numCache>
                <c:formatCode>#,##0</c:formatCode>
                <c:ptCount val="12"/>
                <c:pt idx="0">
                  <c:v>0.0</c:v>
                </c:pt>
                <c:pt idx="1">
                  <c:v>7.866505E6</c:v>
                </c:pt>
                <c:pt idx="2">
                  <c:v>1.573301E7</c:v>
                </c:pt>
                <c:pt idx="3">
                  <c:v>2.3599515E7</c:v>
                </c:pt>
                <c:pt idx="4">
                  <c:v>2.979296388E7</c:v>
                </c:pt>
                <c:pt idx="5">
                  <c:v>3.818597107E7</c:v>
                </c:pt>
                <c:pt idx="6">
                  <c:v>4.267312586E7</c:v>
                </c:pt>
                <c:pt idx="7">
                  <c:v>4.267312586E7</c:v>
                </c:pt>
                <c:pt idx="8">
                  <c:v>4.267312586E7</c:v>
                </c:pt>
                <c:pt idx="9">
                  <c:v>4.267312586E7</c:v>
                </c:pt>
                <c:pt idx="10">
                  <c:v>4.267312586E7</c:v>
                </c:pt>
                <c:pt idx="11">
                  <c:v>4.267312586E7</c:v>
                </c:pt>
              </c:numCache>
            </c:numRef>
          </c:val>
          <c:smooth val="0"/>
        </c:ser>
        <c:dLbls>
          <c:showLegendKey val="0"/>
          <c:showVal val="0"/>
          <c:showCatName val="0"/>
          <c:showSerName val="0"/>
          <c:showPercent val="0"/>
          <c:showBubbleSize val="0"/>
        </c:dLbls>
        <c:marker val="1"/>
        <c:smooth val="0"/>
        <c:axId val="-944246704"/>
        <c:axId val="-2066006528"/>
      </c:lineChart>
      <c:catAx>
        <c:axId val="-944246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2066006528"/>
        <c:crosses val="autoZero"/>
        <c:auto val="1"/>
        <c:lblAlgn val="ctr"/>
        <c:lblOffset val="100"/>
        <c:tickLblSkip val="1"/>
        <c:tickMarkSkip val="1"/>
        <c:noMultiLvlLbl val="0"/>
      </c:catAx>
      <c:valAx>
        <c:axId val="-206600652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944246704"/>
        <c:crosses val="autoZero"/>
        <c:crossBetween val="between"/>
      </c:valAx>
      <c:spPr>
        <a:solidFill>
          <a:srgbClr val="FFFFFF"/>
        </a:solidFill>
        <a:ln w="12700">
          <a:solidFill>
            <a:srgbClr val="808080"/>
          </a:solidFill>
          <a:prstDash val="solid"/>
        </a:ln>
      </c:spPr>
    </c:plotArea>
    <c:legend>
      <c:legendPos val="r"/>
      <c:layout>
        <c:manualLayout>
          <c:xMode val="edge"/>
          <c:yMode val="edge"/>
          <c:x val="0.118500750989941"/>
          <c:y val="0.671557560779355"/>
          <c:w val="0.803493468663238"/>
          <c:h val="0.167889533881258"/>
        </c:manualLayout>
      </c:layout>
      <c:overlay val="0"/>
      <c:spPr>
        <a:noFill/>
        <a:ln w="25400">
          <a:noFill/>
        </a:ln>
      </c:spPr>
      <c:txPr>
        <a:bodyPr/>
        <a:lstStyle/>
        <a:p>
          <a:pPr>
            <a:defRPr sz="46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0.0895526227117345"/>
          <c:w val="0.833140043193296"/>
          <c:h val="0.653207365662063"/>
        </c:manualLayout>
      </c:layout>
      <c:barChart>
        <c:barDir val="col"/>
        <c:grouping val="clustered"/>
        <c:varyColors val="0"/>
        <c:ser>
          <c:idx val="0"/>
          <c:order val="0"/>
          <c:tx>
            <c:strRef>
              <c:f>'Data Entry'!$G$120</c:f>
              <c:strCache>
                <c:ptCount val="1"/>
                <c:pt idx="0">
                  <c:v>Target</c:v>
                </c:pt>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formatCode>0%</c:formatCode>
                <c:ptCount val="12"/>
                <c:pt idx="0">
                  <c:v>0.55</c:v>
                </c:pt>
                <c:pt idx="1">
                  <c:v>0.55</c:v>
                </c:pt>
                <c:pt idx="2">
                  <c:v>0.55</c:v>
                </c:pt>
                <c:pt idx="3">
                  <c:v>0.55</c:v>
                </c:pt>
                <c:pt idx="4">
                  <c:v>0.607</c:v>
                </c:pt>
                <c:pt idx="5">
                  <c:v>0.607</c:v>
                </c:pt>
                <c:pt idx="6">
                  <c:v>0.607</c:v>
                </c:pt>
              </c:numCache>
            </c:numRef>
          </c:val>
        </c:ser>
        <c:ser>
          <c:idx val="1"/>
          <c:order val="1"/>
          <c:tx>
            <c:strRef>
              <c:f>'Data Entry'!$G$121</c:f>
              <c:strCache>
                <c:ptCount val="1"/>
                <c:pt idx="0">
                  <c:v>Achieved </c:v>
                </c:pt>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Entry'!$H$121:$S$121</c:f>
              <c:numCache>
                <c:formatCode>0%</c:formatCode>
                <c:ptCount val="12"/>
                <c:pt idx="0">
                  <c:v>0.392</c:v>
                </c:pt>
                <c:pt idx="1">
                  <c:v>0.42</c:v>
                </c:pt>
                <c:pt idx="2">
                  <c:v>0.5125</c:v>
                </c:pt>
                <c:pt idx="3">
                  <c:v>0.41</c:v>
                </c:pt>
                <c:pt idx="4">
                  <c:v>0.367</c:v>
                </c:pt>
                <c:pt idx="5">
                  <c:v>0.357</c:v>
                </c:pt>
                <c:pt idx="6">
                  <c:v>0.403</c:v>
                </c:pt>
              </c:numCache>
            </c:numRef>
          </c:val>
        </c:ser>
        <c:dLbls>
          <c:showLegendKey val="0"/>
          <c:showVal val="0"/>
          <c:showCatName val="0"/>
          <c:showSerName val="0"/>
          <c:showPercent val="0"/>
          <c:showBubbleSize val="0"/>
        </c:dLbls>
        <c:gapWidth val="150"/>
        <c:axId val="-2103370624"/>
        <c:axId val="-2069528928"/>
      </c:barChart>
      <c:catAx>
        <c:axId val="-2103370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2069528928"/>
        <c:crosses val="autoZero"/>
        <c:auto val="1"/>
        <c:lblAlgn val="ctr"/>
        <c:lblOffset val="100"/>
        <c:tickLblSkip val="1"/>
        <c:tickMarkSkip val="1"/>
        <c:noMultiLvlLbl val="0"/>
      </c:catAx>
      <c:valAx>
        <c:axId val="-2069528928"/>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2103370624"/>
        <c:crosses val="autoZero"/>
        <c:crossBetween val="between"/>
      </c:valAx>
      <c:spPr>
        <a:noFill/>
        <a:ln w="25400">
          <a:noFill/>
        </a:ln>
      </c:spPr>
    </c:plotArea>
    <c:legend>
      <c:legendPos val="r"/>
      <c:layout>
        <c:manualLayout>
          <c:xMode val="edge"/>
          <c:yMode val="edge"/>
          <c:x val="0.2015878746382"/>
          <c:y val="0.906503710417493"/>
          <c:w val="0.505946282406399"/>
          <c:h val="0.0791389565512944"/>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1" Type="http://schemas.openxmlformats.org/officeDocument/2006/relationships/image" Target="../media/image3.png"/><Relationship Id="rId12" Type="http://schemas.openxmlformats.org/officeDocument/2006/relationships/image" Target="../media/image4.png"/><Relationship Id="rId13" Type="http://schemas.openxmlformats.org/officeDocument/2006/relationships/image" Target="../media/image5.png"/><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hyperlink" Target="#Finance!A1"/><Relationship Id="rId4" Type="http://schemas.openxmlformats.org/officeDocument/2006/relationships/hyperlink" Target="#Programmatic!A1"/><Relationship Id="rId5" Type="http://schemas.openxmlformats.org/officeDocument/2006/relationships/hyperlink" Target="#Management!A1"/><Relationship Id="rId6" Type="http://schemas.openxmlformats.org/officeDocument/2006/relationships/hyperlink" Target="#Recommendations!A1"/><Relationship Id="rId7" Type="http://schemas.openxmlformats.org/officeDocument/2006/relationships/hyperlink" Target="#Actions!A1"/><Relationship Id="rId8" Type="http://schemas.openxmlformats.org/officeDocument/2006/relationships/hyperlink" Target="#'Grant Detail'!A1"/><Relationship Id="rId9" Type="http://schemas.openxmlformats.org/officeDocument/2006/relationships/hyperlink" Target="#'List of Indicators'!A1"/><Relationship Id="rId10" Type="http://schemas.openxmlformats.org/officeDocument/2006/relationships/hyperlink" Target="#'Data Entry'!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1" Type="http://schemas.openxmlformats.org/officeDocument/2006/relationships/hyperlink" Target="http://www.crwflags.com/fotw/flags/country.html#http://www.crwflags.com/fotw/flags/country.html" TargetMode="External"/><Relationship Id="rId2" Type="http://schemas.openxmlformats.org/officeDocument/2006/relationships/hyperlink" Target="#Menu!A1"/></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4" Type="http://schemas.openxmlformats.org/officeDocument/2006/relationships/image" Target="../media/image6.png"/><Relationship Id="rId5" Type="http://schemas.openxmlformats.org/officeDocument/2006/relationships/chart" Target="../charts/chart3.xml"/><Relationship Id="rId6" Type="http://schemas.openxmlformats.org/officeDocument/2006/relationships/image" Target="../media/image7.png"/><Relationship Id="rId1" Type="http://schemas.openxmlformats.org/officeDocument/2006/relationships/chart" Target="../charts/chart1.xml"/><Relationship Id="rId2" Type="http://schemas.openxmlformats.org/officeDocument/2006/relationships/hyperlink" Target="#Menu!A1"/></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4" Type="http://schemas.openxmlformats.org/officeDocument/2006/relationships/chart" Target="../charts/chart7.xml"/><Relationship Id="rId5" Type="http://schemas.openxmlformats.org/officeDocument/2006/relationships/chart" Target="../charts/chart8.xml"/><Relationship Id="rId6" Type="http://schemas.openxmlformats.org/officeDocument/2006/relationships/hyperlink" Target="#Menu!A1"/><Relationship Id="rId1" Type="http://schemas.openxmlformats.org/officeDocument/2006/relationships/chart" Target="../charts/chart4.xml"/><Relationship Id="rId2"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4" Type="http://schemas.openxmlformats.org/officeDocument/2006/relationships/chart" Target="../charts/chart11.xml"/><Relationship Id="rId1" Type="http://schemas.openxmlformats.org/officeDocument/2006/relationships/chart" Target="../charts/chart9.xml"/><Relationship Id="rId2" Type="http://schemas.openxmlformats.org/officeDocument/2006/relationships/hyperlink" Target="#Menu!A1"/></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1" Type="http://schemas.openxmlformats.org/officeDocument/2006/relationships/chart" Target="../charts/chart12.xml"/><Relationship Id="rId2"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4</xdr:row>
      <xdr:rowOff>152400</xdr:rowOff>
    </xdr:from>
    <xdr:to>
      <xdr:col>11</xdr:col>
      <xdr:colOff>723900</xdr:colOff>
      <xdr:row>19</xdr:row>
      <xdr:rowOff>114300</xdr:rowOff>
    </xdr:to>
    <xdr:pic>
      <xdr:nvPicPr>
        <xdr:cNvPr id="4943458" name="Picture 2"/>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31349" t="36853" r="9531"/>
        <a:stretch>
          <a:fillRect/>
        </a:stretch>
      </xdr:blipFill>
      <xdr:spPr bwMode="auto">
        <a:xfrm>
          <a:off x="50800" y="1397000"/>
          <a:ext cx="8775700" cy="281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7</xdr:col>
      <xdr:colOff>787400</xdr:colOff>
      <xdr:row>7</xdr:row>
      <xdr:rowOff>50800</xdr:rowOff>
    </xdr:from>
    <xdr:to>
      <xdr:col>11</xdr:col>
      <xdr:colOff>622300</xdr:colOff>
      <xdr:row>18</xdr:row>
      <xdr:rowOff>152400</xdr:rowOff>
    </xdr:to>
    <xdr:pic>
      <xdr:nvPicPr>
        <xdr:cNvPr id="4943459" name="Picture 82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34100" y="1866900"/>
          <a:ext cx="2590800" cy="219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292100</xdr:colOff>
      <xdr:row>7</xdr:row>
      <xdr:rowOff>114300</xdr:rowOff>
    </xdr:from>
    <xdr:to>
      <xdr:col>7</xdr:col>
      <xdr:colOff>641236</xdr:colOff>
      <xdr:row>18</xdr:row>
      <xdr:rowOff>76200</xdr:rowOff>
    </xdr:to>
    <xdr:sp macro="" textlink="">
      <xdr:nvSpPr>
        <xdr:cNvPr id="4187670" name="AutoShape 27"/>
        <xdr:cNvSpPr>
          <a:spLocks noChangeArrowheads="1"/>
        </xdr:cNvSpPr>
      </xdr:nvSpPr>
      <xdr:spPr bwMode="gray">
        <a:xfrm>
          <a:off x="3009900" y="1930400"/>
          <a:ext cx="2971800" cy="2057400"/>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txBody>
        <a:bodyPr rtlCol="0"/>
        <a:lstStyle/>
        <a:p>
          <a:pPr algn="ctr"/>
          <a:endParaRPr lang="en-US"/>
        </a:p>
      </xdr:txBody>
    </xdr:sp>
    <xdr:clientData/>
  </xdr:twoCellAnchor>
  <xdr:twoCellAnchor>
    <xdr:from>
      <xdr:col>5</xdr:col>
      <xdr:colOff>330200</xdr:colOff>
      <xdr:row>10</xdr:row>
      <xdr:rowOff>50800</xdr:rowOff>
    </xdr:from>
    <xdr:to>
      <xdr:col>6</xdr:col>
      <xdr:colOff>609600</xdr:colOff>
      <xdr:row>12</xdr:row>
      <xdr:rowOff>38100</xdr:rowOff>
    </xdr:to>
    <xdr:grpSp>
      <xdr:nvGrpSpPr>
        <xdr:cNvPr id="4943461" name="Group 25">
          <a:hlinkClick xmlns:r="http://schemas.openxmlformats.org/officeDocument/2006/relationships" r:id="rId3"/>
        </xdr:cNvPr>
        <xdr:cNvGrpSpPr>
          <a:grpSpLocks/>
        </xdr:cNvGrpSpPr>
      </xdr:nvGrpSpPr>
      <xdr:grpSpPr bwMode="auto">
        <a:xfrm>
          <a:off x="3924300" y="2438400"/>
          <a:ext cx="1155700" cy="368300"/>
          <a:chOff x="1200" y="1912"/>
          <a:chExt cx="3456" cy="774"/>
        </a:xfrm>
      </xdr:grpSpPr>
      <xdr:sp macro="" textlink="">
        <xdr:nvSpPr>
          <xdr:cNvPr id="4943155"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vertOverflow="clip" wrap="square" lIns="18288" tIns="0" rIns="0" bIns="0" anchor="t" upright="1"/>
          <a:lstStyle/>
          <a:p>
            <a:pPr algn="ctr" rtl="0">
              <a:defRPr sz="1000"/>
            </a:pPr>
            <a:endParaRPr lang="en-US"/>
          </a:p>
        </xdr:txBody>
      </xdr:sp>
      <xdr:sp macro="" textlink="">
        <xdr:nvSpPr>
          <xdr:cNvPr id="22" name="AutoShape 27"/>
          <xdr:cNvSpPr>
            <a:spLocks noChangeArrowheads="1"/>
          </xdr:cNvSpPr>
        </xdr:nvSpPr>
        <xdr:spPr bwMode="gray">
          <a:xfrm>
            <a:off x="1276" y="1992"/>
            <a:ext cx="3266" cy="614"/>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xdr:cNvSpPr>
            <a:spLocks/>
          </xdr:cNvSpPr>
        </xdr:nvSpPr>
        <xdr:spPr bwMode="gray">
          <a:xfrm>
            <a:off x="1314" y="1992"/>
            <a:ext cx="342" cy="34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368300</xdr:colOff>
      <xdr:row>15</xdr:row>
      <xdr:rowOff>177800</xdr:rowOff>
    </xdr:from>
    <xdr:to>
      <xdr:col>6</xdr:col>
      <xdr:colOff>723900</xdr:colOff>
      <xdr:row>17</xdr:row>
      <xdr:rowOff>165100</xdr:rowOff>
    </xdr:to>
    <xdr:grpSp>
      <xdr:nvGrpSpPr>
        <xdr:cNvPr id="4943462" name="Group 25">
          <a:hlinkClick xmlns:r="http://schemas.openxmlformats.org/officeDocument/2006/relationships" r:id="rId4"/>
        </xdr:cNvPr>
        <xdr:cNvGrpSpPr>
          <a:grpSpLocks/>
        </xdr:cNvGrpSpPr>
      </xdr:nvGrpSpPr>
      <xdr:grpSpPr bwMode="auto">
        <a:xfrm>
          <a:off x="3962400" y="3517900"/>
          <a:ext cx="1231900" cy="368300"/>
          <a:chOff x="1200" y="1912"/>
          <a:chExt cx="3456" cy="774"/>
        </a:xfrm>
      </xdr:grpSpPr>
      <xdr:sp macro="" textlink="">
        <xdr:nvSpPr>
          <xdr:cNvPr id="4943152"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vertOverflow="clip" wrap="square" lIns="18288" tIns="0" rIns="0" bIns="0" anchor="t" upright="1"/>
          <a:lstStyle/>
          <a:p>
            <a:pPr algn="ctr" rtl="0">
              <a:defRPr sz="1000"/>
            </a:pPr>
            <a:endParaRPr lang="en-US"/>
          </a:p>
        </xdr:txBody>
      </xdr:sp>
      <xdr:sp macro="" textlink="">
        <xdr:nvSpPr>
          <xdr:cNvPr id="26" name="AutoShape 27"/>
          <xdr:cNvSpPr>
            <a:spLocks noChangeArrowheads="1"/>
          </xdr:cNvSpPr>
        </xdr:nvSpPr>
        <xdr:spPr bwMode="gray">
          <a:xfrm>
            <a:off x="1307" y="1992"/>
            <a:ext cx="3278" cy="614"/>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xdr:cNvSpPr>
            <a:spLocks/>
          </xdr:cNvSpPr>
        </xdr:nvSpPr>
        <xdr:spPr bwMode="gray">
          <a:xfrm>
            <a:off x="1307" y="1992"/>
            <a:ext cx="356" cy="34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330200</xdr:colOff>
      <xdr:row>13</xdr:row>
      <xdr:rowOff>12700</xdr:rowOff>
    </xdr:from>
    <xdr:to>
      <xdr:col>6</xdr:col>
      <xdr:colOff>685800</xdr:colOff>
      <xdr:row>15</xdr:row>
      <xdr:rowOff>0</xdr:rowOff>
    </xdr:to>
    <xdr:grpSp>
      <xdr:nvGrpSpPr>
        <xdr:cNvPr id="4943463" name="Group 25">
          <a:hlinkClick xmlns:r="http://schemas.openxmlformats.org/officeDocument/2006/relationships" r:id="rId5"/>
        </xdr:cNvPr>
        <xdr:cNvGrpSpPr>
          <a:grpSpLocks/>
        </xdr:cNvGrpSpPr>
      </xdr:nvGrpSpPr>
      <xdr:grpSpPr bwMode="auto">
        <a:xfrm>
          <a:off x="3924300" y="2971800"/>
          <a:ext cx="1231900" cy="368300"/>
          <a:chOff x="1200" y="1912"/>
          <a:chExt cx="3456" cy="774"/>
        </a:xfrm>
      </xdr:grpSpPr>
      <xdr:sp macro="" textlink="">
        <xdr:nvSpPr>
          <xdr:cNvPr id="4943149"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vertOverflow="clip" wrap="square" lIns="18288" tIns="0" rIns="0" bIns="0" anchor="t" upright="1"/>
          <a:lstStyle/>
          <a:p>
            <a:pPr algn="ctr" rtl="0">
              <a:defRPr sz="1000"/>
            </a:pPr>
            <a:endParaRPr lang="en-US"/>
          </a:p>
        </xdr:txBody>
      </xdr:sp>
      <xdr:sp macro="" textlink="">
        <xdr:nvSpPr>
          <xdr:cNvPr id="207941" name="AutoShape 27"/>
          <xdr:cNvSpPr>
            <a:spLocks noChangeArrowheads="1"/>
          </xdr:cNvSpPr>
        </xdr:nvSpPr>
        <xdr:spPr bwMode="gray">
          <a:xfrm>
            <a:off x="1307" y="1992"/>
            <a:ext cx="3278" cy="614"/>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xdr:cNvSpPr>
            <a:spLocks/>
          </xdr:cNvSpPr>
        </xdr:nvSpPr>
        <xdr:spPr bwMode="gray">
          <a:xfrm>
            <a:off x="1307" y="1992"/>
            <a:ext cx="356" cy="34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358775</xdr:colOff>
      <xdr:row>5</xdr:row>
      <xdr:rowOff>0</xdr:rowOff>
    </xdr:from>
    <xdr:to>
      <xdr:col>7</xdr:col>
      <xdr:colOff>463611</xdr:colOff>
      <xdr:row>6</xdr:row>
      <xdr:rowOff>70803</xdr:rowOff>
    </xdr:to>
    <xdr:sp macro="" textlink="">
      <xdr:nvSpPr>
        <xdr:cNvPr id="4899" name="Rectangle 803"/>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342900</xdr:colOff>
      <xdr:row>11</xdr:row>
      <xdr:rowOff>0</xdr:rowOff>
    </xdr:from>
    <xdr:to>
      <xdr:col>11</xdr:col>
      <xdr:colOff>190500</xdr:colOff>
      <xdr:row>13</xdr:row>
      <xdr:rowOff>25400</xdr:rowOff>
    </xdr:to>
    <xdr:grpSp>
      <xdr:nvGrpSpPr>
        <xdr:cNvPr id="4943465" name="Group 832">
          <a:hlinkClick xmlns:r="http://schemas.openxmlformats.org/officeDocument/2006/relationships" r:id="rId6"/>
        </xdr:cNvPr>
        <xdr:cNvGrpSpPr>
          <a:grpSpLocks/>
        </xdr:cNvGrpSpPr>
      </xdr:nvGrpSpPr>
      <xdr:grpSpPr bwMode="auto">
        <a:xfrm>
          <a:off x="6565900" y="2578100"/>
          <a:ext cx="1727200" cy="406400"/>
          <a:chOff x="599" y="262"/>
          <a:chExt cx="158" cy="43"/>
        </a:xfrm>
      </xdr:grpSpPr>
      <xdr:sp macro="" textlink="">
        <xdr:nvSpPr>
          <xdr:cNvPr id="4943145" name="AutoShape 30"/>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vertOverflow="clip" wrap="square" lIns="18288" tIns="0" rIns="0" bIns="0" anchor="t" upright="1"/>
          <a:lstStyle/>
          <a:p>
            <a:pPr algn="ctr" rtl="0">
              <a:defRPr sz="1000"/>
            </a:pPr>
            <a:endParaRPr lang="en-US"/>
          </a:p>
        </xdr:txBody>
      </xdr:sp>
      <xdr:grpSp>
        <xdr:nvGrpSpPr>
          <xdr:cNvPr id="4943496" name="13 Grupo"/>
          <xdr:cNvGrpSpPr>
            <a:grpSpLocks/>
          </xdr:cNvGrpSpPr>
        </xdr:nvGrpSpPr>
        <xdr:grpSpPr bwMode="auto">
          <a:xfrm>
            <a:off x="603" y="267"/>
            <a:ext cx="151" cy="35"/>
            <a:chOff x="1104968" y="2771552"/>
            <a:chExt cx="3605494" cy="566957"/>
          </a:xfrm>
        </xdr:grpSpPr>
        <xdr:sp macro="" textlink="">
          <xdr:nvSpPr>
            <xdr:cNvPr id="4903" name="AutoShape 31"/>
            <xdr:cNvSpPr>
              <a:spLocks noChangeArrowheads="1"/>
            </xdr:cNvSpPr>
          </xdr:nvSpPr>
          <xdr:spPr bwMode="gray">
            <a:xfrm>
              <a:off x="1009457" y="2647024"/>
              <a:ext cx="3689417" cy="69654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4943498" name="Freeform 32"/>
            <xdr:cNvSpPr>
              <a:spLocks/>
            </xdr:cNvSpPr>
          </xdr:nvSpPr>
          <xdr:spPr bwMode="gray">
            <a:xfrm>
              <a:off x="1148157" y="2799393"/>
              <a:ext cx="360620" cy="32650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grpSp>
    <xdr:clientData/>
  </xdr:twoCellAnchor>
  <xdr:twoCellAnchor>
    <xdr:from>
      <xdr:col>1</xdr:col>
      <xdr:colOff>279400</xdr:colOff>
      <xdr:row>7</xdr:row>
      <xdr:rowOff>76200</xdr:rowOff>
    </xdr:from>
    <xdr:to>
      <xdr:col>4</xdr:col>
      <xdr:colOff>127000</xdr:colOff>
      <xdr:row>18</xdr:row>
      <xdr:rowOff>114300</xdr:rowOff>
    </xdr:to>
    <xdr:grpSp>
      <xdr:nvGrpSpPr>
        <xdr:cNvPr id="4943466" name="Group 830"/>
        <xdr:cNvGrpSpPr>
          <a:grpSpLocks/>
        </xdr:cNvGrpSpPr>
      </xdr:nvGrpSpPr>
      <xdr:grpSpPr bwMode="auto">
        <a:xfrm>
          <a:off x="368300" y="1892300"/>
          <a:ext cx="2476500" cy="2133600"/>
          <a:chOff x="32" y="188"/>
          <a:chExt cx="225" cy="225"/>
        </a:xfrm>
      </xdr:grpSpPr>
      <xdr:sp macro="" textlink="">
        <xdr:nvSpPr>
          <xdr:cNvPr id="4187703" name="AutoShape 31"/>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txBody>
          <a:bodyPr rtlCol="0"/>
          <a:lstStyle/>
          <a:p>
            <a:pPr algn="ctr"/>
            <a:endParaRPr lang="en-US"/>
          </a:p>
        </xdr:txBody>
      </xdr:sp>
      <xdr:sp macro="" textlink="">
        <xdr:nvSpPr>
          <xdr:cNvPr id="4913" name="Freeform 32"/>
          <xdr:cNvSpPr>
            <a:spLocks/>
          </xdr:cNvSpPr>
        </xdr:nvSpPr>
        <xdr:spPr bwMode="gray">
          <a:xfrm>
            <a:off x="42" y="197"/>
            <a:ext cx="53" cy="28"/>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330200</xdr:colOff>
      <xdr:row>14</xdr:row>
      <xdr:rowOff>50800</xdr:rowOff>
    </xdr:from>
    <xdr:to>
      <xdr:col>11</xdr:col>
      <xdr:colOff>177800</xdr:colOff>
      <xdr:row>16</xdr:row>
      <xdr:rowOff>76200</xdr:rowOff>
    </xdr:to>
    <xdr:grpSp>
      <xdr:nvGrpSpPr>
        <xdr:cNvPr id="4943467" name="Group 826"/>
        <xdr:cNvGrpSpPr>
          <a:grpSpLocks/>
        </xdr:cNvGrpSpPr>
      </xdr:nvGrpSpPr>
      <xdr:grpSpPr bwMode="auto">
        <a:xfrm>
          <a:off x="6553200" y="3200400"/>
          <a:ext cx="1727200" cy="406400"/>
          <a:chOff x="578" y="328"/>
          <a:chExt cx="158" cy="43"/>
        </a:xfrm>
      </xdr:grpSpPr>
      <xdr:sp macro="" textlink="">
        <xdr:nvSpPr>
          <xdr:cNvPr id="4943139" name="AutoShape 30"/>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vertOverflow="clip" wrap="square" lIns="18288" tIns="0" rIns="0" bIns="0" anchor="t" upright="1"/>
          <a:lstStyle/>
          <a:p>
            <a:pPr algn="ctr" rtl="0">
              <a:defRPr sz="1000"/>
            </a:pPr>
            <a:endParaRPr lang="en-US"/>
          </a:p>
        </xdr:txBody>
      </xdr:sp>
      <xdr:grpSp>
        <xdr:nvGrpSpPr>
          <xdr:cNvPr id="4943490" name="Group 823"/>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xdr:cNvPr>
            <xdr:cNvSpPr>
              <a:spLocks noChangeArrowheads="1"/>
            </xdr:cNvSpPr>
          </xdr:nvSpPr>
          <xdr:spPr bwMode="gray">
            <a:xfrm>
              <a:off x="582" y="332"/>
              <a:ext cx="151" cy="36"/>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4943492" name="Freeform 32"/>
            <xdr:cNvSpPr>
              <a:spLocks/>
            </xdr:cNvSpPr>
          </xdr:nvSpPr>
          <xdr:spPr bwMode="gray">
            <a:xfrm>
              <a:off x="586" y="335"/>
              <a:ext cx="14" cy="20"/>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grpSp>
    <xdr:clientData/>
  </xdr:twoCellAnchor>
  <xdr:twoCellAnchor>
    <xdr:from>
      <xdr:col>1</xdr:col>
      <xdr:colOff>596900</xdr:colOff>
      <xdr:row>15</xdr:row>
      <xdr:rowOff>139700</xdr:rowOff>
    </xdr:from>
    <xdr:to>
      <xdr:col>3</xdr:col>
      <xdr:colOff>571500</xdr:colOff>
      <xdr:row>17</xdr:row>
      <xdr:rowOff>101600</xdr:rowOff>
    </xdr:to>
    <xdr:grpSp>
      <xdr:nvGrpSpPr>
        <xdr:cNvPr id="4943468" name="Group 831">
          <a:hlinkClick xmlns:r="http://schemas.openxmlformats.org/officeDocument/2006/relationships" r:id="rId8"/>
        </xdr:cNvPr>
        <xdr:cNvGrpSpPr>
          <a:grpSpLocks/>
        </xdr:cNvGrpSpPr>
      </xdr:nvGrpSpPr>
      <xdr:grpSpPr bwMode="auto">
        <a:xfrm>
          <a:off x="685800" y="3479800"/>
          <a:ext cx="1727200" cy="342900"/>
          <a:chOff x="56" y="259"/>
          <a:chExt cx="158" cy="40"/>
        </a:xfrm>
      </xdr:grpSpPr>
      <xdr:sp macro="" textlink="">
        <xdr:nvSpPr>
          <xdr:cNvPr id="4943135" name="AutoShape 30"/>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vertOverflow="clip" wrap="square" lIns="18288" tIns="0" rIns="0" bIns="0" anchor="t" upright="1"/>
          <a:lstStyle/>
          <a:p>
            <a:pPr algn="ctr" rtl="0">
              <a:defRPr sz="1000"/>
            </a:pPr>
            <a:endParaRPr lang="en-US"/>
          </a:p>
        </xdr:txBody>
      </xdr:sp>
      <xdr:grpSp>
        <xdr:nvGrpSpPr>
          <xdr:cNvPr id="4943486" name="11 Grupo"/>
          <xdr:cNvGrpSpPr>
            <a:grpSpLocks/>
          </xdr:cNvGrpSpPr>
        </xdr:nvGrpSpPr>
        <xdr:grpSpPr bwMode="auto">
          <a:xfrm>
            <a:off x="60" y="263"/>
            <a:ext cx="151" cy="32"/>
            <a:chOff x="1104968" y="2771584"/>
            <a:chExt cx="3605494" cy="566957"/>
          </a:xfrm>
        </xdr:grpSpPr>
        <xdr:sp macro="" textlink="">
          <xdr:nvSpPr>
            <xdr:cNvPr id="9" name="AutoShape 31"/>
            <xdr:cNvSpPr>
              <a:spLocks noChangeArrowheads="1"/>
            </xdr:cNvSpPr>
          </xdr:nvSpPr>
          <xdr:spPr bwMode="gray">
            <a:xfrm>
              <a:off x="1009457" y="2910698"/>
              <a:ext cx="3689417" cy="446216"/>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xdr:cNvSpPr>
              <a:spLocks/>
            </xdr:cNvSpPr>
          </xdr:nvSpPr>
          <xdr:spPr bwMode="gray">
            <a:xfrm>
              <a:off x="1148157" y="2910698"/>
              <a:ext cx="360620" cy="183736"/>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596900</xdr:colOff>
      <xdr:row>10</xdr:row>
      <xdr:rowOff>25400</xdr:rowOff>
    </xdr:from>
    <xdr:to>
      <xdr:col>3</xdr:col>
      <xdr:colOff>571500</xdr:colOff>
      <xdr:row>12</xdr:row>
      <xdr:rowOff>12700</xdr:rowOff>
    </xdr:to>
    <xdr:grpSp>
      <xdr:nvGrpSpPr>
        <xdr:cNvPr id="4943469" name="37 Grupo">
          <a:hlinkClick xmlns:r="http://schemas.openxmlformats.org/officeDocument/2006/relationships" r:id="rId9"/>
        </xdr:cNvPr>
        <xdr:cNvGrpSpPr>
          <a:grpSpLocks/>
        </xdr:cNvGrpSpPr>
      </xdr:nvGrpSpPr>
      <xdr:grpSpPr bwMode="auto">
        <a:xfrm>
          <a:off x="685800" y="2413000"/>
          <a:ext cx="1727200" cy="368300"/>
          <a:chOff x="1343025" y="2428876"/>
          <a:chExt cx="3240982" cy="617274"/>
        </a:xfrm>
      </xdr:grpSpPr>
      <xdr:sp macro="" textlink="">
        <xdr:nvSpPr>
          <xdr:cNvPr id="4943131"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vertOverflow="clip" wrap="square" lIns="18288" tIns="0" rIns="0" bIns="0" anchor="t" upright="1"/>
          <a:lstStyle/>
          <a:p>
            <a:pPr algn="ctr" rtl="0">
              <a:defRPr sz="1000"/>
            </a:pPr>
            <a:endParaRPr lang="en-US"/>
          </a:p>
        </xdr:txBody>
      </xdr:sp>
      <xdr:grpSp>
        <xdr:nvGrpSpPr>
          <xdr:cNvPr id="4943482" name="13 Grupo"/>
          <xdr:cNvGrpSpPr>
            <a:grpSpLocks/>
          </xdr:cNvGrpSpPr>
        </xdr:nvGrpSpPr>
        <xdr:grpSpPr bwMode="auto">
          <a:xfrm>
            <a:off x="1419283" y="2495353"/>
            <a:ext cx="3097998" cy="503316"/>
            <a:chOff x="1104968" y="2771552"/>
            <a:chExt cx="3605494" cy="566957"/>
          </a:xfrm>
        </xdr:grpSpPr>
        <xdr:sp macro="" textlink="">
          <xdr:nvSpPr>
            <xdr:cNvPr id="3" name="AutoShape 31"/>
            <xdr:cNvSpPr>
              <a:spLocks noChangeArrowheads="1"/>
            </xdr:cNvSpPr>
          </xdr:nvSpPr>
          <xdr:spPr bwMode="gray">
            <a:xfrm>
              <a:off x="1099421" y="2768599"/>
              <a:ext cx="3605494" cy="575441"/>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xdr:cNvSpPr>
              <a:spLocks/>
            </xdr:cNvSpPr>
          </xdr:nvSpPr>
          <xdr:spPr bwMode="gray">
            <a:xfrm>
              <a:off x="1154890" y="2792576"/>
              <a:ext cx="360549" cy="31169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596900</xdr:colOff>
      <xdr:row>12</xdr:row>
      <xdr:rowOff>177800</xdr:rowOff>
    </xdr:from>
    <xdr:to>
      <xdr:col>3</xdr:col>
      <xdr:colOff>571500</xdr:colOff>
      <xdr:row>14</xdr:row>
      <xdr:rowOff>177800</xdr:rowOff>
    </xdr:to>
    <xdr:grpSp>
      <xdr:nvGrpSpPr>
        <xdr:cNvPr id="4943470" name="37 Grupo">
          <a:hlinkClick xmlns:r="http://schemas.openxmlformats.org/officeDocument/2006/relationships" r:id="rId10"/>
        </xdr:cNvPr>
        <xdr:cNvGrpSpPr>
          <a:grpSpLocks/>
        </xdr:cNvGrpSpPr>
      </xdr:nvGrpSpPr>
      <xdr:grpSpPr bwMode="auto">
        <a:xfrm>
          <a:off x="685800" y="2946400"/>
          <a:ext cx="1727200" cy="381000"/>
          <a:chOff x="1343025" y="2428876"/>
          <a:chExt cx="3240982" cy="617274"/>
        </a:xfrm>
      </xdr:grpSpPr>
      <xdr:sp macro="" textlink="">
        <xdr:nvSpPr>
          <xdr:cNvPr id="4943127"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vertOverflow="clip" wrap="square" lIns="18288" tIns="0" rIns="0" bIns="0" anchor="t" upright="1"/>
          <a:lstStyle/>
          <a:p>
            <a:pPr algn="ctr" rtl="0">
              <a:defRPr sz="1000"/>
            </a:pPr>
            <a:endParaRPr lang="en-US"/>
          </a:p>
        </xdr:txBody>
      </xdr:sp>
      <xdr:grpSp>
        <xdr:nvGrpSpPr>
          <xdr:cNvPr id="4943478" name="13 Grupo"/>
          <xdr:cNvGrpSpPr>
            <a:grpSpLocks/>
          </xdr:cNvGrpSpPr>
        </xdr:nvGrpSpPr>
        <xdr:grpSpPr bwMode="auto">
          <a:xfrm>
            <a:off x="1419283" y="2495353"/>
            <a:ext cx="3097998" cy="503316"/>
            <a:chOff x="1104968" y="2771552"/>
            <a:chExt cx="3605494" cy="566957"/>
          </a:xfrm>
        </xdr:grpSpPr>
        <xdr:sp macro="" textlink="">
          <xdr:nvSpPr>
            <xdr:cNvPr id="14" name="AutoShape 31"/>
            <xdr:cNvSpPr>
              <a:spLocks noChangeArrowheads="1"/>
            </xdr:cNvSpPr>
          </xdr:nvSpPr>
          <xdr:spPr bwMode="gray">
            <a:xfrm>
              <a:off x="1099421" y="2766201"/>
              <a:ext cx="3605494" cy="579436"/>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xdr:cNvSpPr>
              <a:spLocks/>
            </xdr:cNvSpPr>
          </xdr:nvSpPr>
          <xdr:spPr bwMode="gray">
            <a:xfrm>
              <a:off x="1154890" y="2766201"/>
              <a:ext cx="360549" cy="34766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292100</xdr:colOff>
      <xdr:row>7</xdr:row>
      <xdr:rowOff>63500</xdr:rowOff>
    </xdr:from>
    <xdr:to>
      <xdr:col>4</xdr:col>
      <xdr:colOff>127000</xdr:colOff>
      <xdr:row>9</xdr:row>
      <xdr:rowOff>139700</xdr:rowOff>
    </xdr:to>
    <xdr:pic>
      <xdr:nvPicPr>
        <xdr:cNvPr id="4943471" name="Picture 2012"/>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81000" y="1879600"/>
          <a:ext cx="2463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425450</xdr:colOff>
      <xdr:row>7</xdr:row>
      <xdr:rowOff>107950</xdr:rowOff>
    </xdr:from>
    <xdr:to>
      <xdr:col>4</xdr:col>
      <xdr:colOff>38312</xdr:colOff>
      <xdr:row>9</xdr:row>
      <xdr:rowOff>108177</xdr:rowOff>
    </xdr:to>
    <xdr:sp macro="" textlink="">
      <xdr:nvSpPr>
        <xdr:cNvPr id="955357" name="Text Box 2013"/>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700"/>
            </a:lnSpc>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lnSpc>
              <a:spcPts val="1700"/>
            </a:lnSpc>
            <a:defRPr sz="1000"/>
          </a:pPr>
          <a:endParaRPr lang="en-US" sz="1800" b="0" i="0" strike="noStrike">
            <a:solidFill>
              <a:srgbClr val="000000"/>
            </a:solidFill>
            <a:latin typeface="Arial"/>
            <a:cs typeface="Arial"/>
          </a:endParaRPr>
        </a:p>
      </xdr:txBody>
    </xdr:sp>
    <xdr:clientData/>
  </xdr:twoCellAnchor>
  <xdr:twoCellAnchor editAs="oneCell">
    <xdr:from>
      <xdr:col>4</xdr:col>
      <xdr:colOff>279400</xdr:colOff>
      <xdr:row>7</xdr:row>
      <xdr:rowOff>63500</xdr:rowOff>
    </xdr:from>
    <xdr:to>
      <xdr:col>7</xdr:col>
      <xdr:colOff>647700</xdr:colOff>
      <xdr:row>9</xdr:row>
      <xdr:rowOff>139700</xdr:rowOff>
    </xdr:to>
    <xdr:pic>
      <xdr:nvPicPr>
        <xdr:cNvPr id="4943473" name="Picture 2016"/>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997200" y="1879600"/>
          <a:ext cx="2997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688975</xdr:colOff>
      <xdr:row>7</xdr:row>
      <xdr:rowOff>107950</xdr:rowOff>
    </xdr:from>
    <xdr:to>
      <xdr:col>7</xdr:col>
      <xdr:colOff>355626</xdr:colOff>
      <xdr:row>9</xdr:row>
      <xdr:rowOff>117475</xdr:rowOff>
    </xdr:to>
    <xdr:sp macro="" textlink="">
      <xdr:nvSpPr>
        <xdr:cNvPr id="955361" name="Text Box 2017"/>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600"/>
            </a:lnSpc>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lnSpc>
              <a:spcPts val="1900"/>
            </a:lnSpc>
            <a:defRPr sz="1000"/>
          </a:pPr>
          <a:endParaRPr lang="en-US" sz="1800" b="0" i="0" strike="noStrike">
            <a:solidFill>
              <a:srgbClr val="000000"/>
            </a:solidFill>
            <a:latin typeface="Arial"/>
            <a:cs typeface="Arial"/>
          </a:endParaRPr>
        </a:p>
      </xdr:txBody>
    </xdr:sp>
    <xdr:clientData/>
  </xdr:twoCellAnchor>
  <xdr:twoCellAnchor editAs="oneCell">
    <xdr:from>
      <xdr:col>7</xdr:col>
      <xdr:colOff>838200</xdr:colOff>
      <xdr:row>7</xdr:row>
      <xdr:rowOff>76200</xdr:rowOff>
    </xdr:from>
    <xdr:to>
      <xdr:col>11</xdr:col>
      <xdr:colOff>571500</xdr:colOff>
      <xdr:row>9</xdr:row>
      <xdr:rowOff>139700</xdr:rowOff>
    </xdr:to>
    <xdr:pic>
      <xdr:nvPicPr>
        <xdr:cNvPr id="4943475" name="Picture 2018"/>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184900" y="1892300"/>
          <a:ext cx="24892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79375</xdr:colOff>
      <xdr:row>7</xdr:row>
      <xdr:rowOff>107950</xdr:rowOff>
    </xdr:from>
    <xdr:to>
      <xdr:col>11</xdr:col>
      <xdr:colOff>473564</xdr:colOff>
      <xdr:row>9</xdr:row>
      <xdr:rowOff>117475</xdr:rowOff>
    </xdr:to>
    <xdr:sp macro="" textlink="">
      <xdr:nvSpPr>
        <xdr:cNvPr id="955363" name="Text Box 2019"/>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600"/>
            </a:lnSpc>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lnSpc>
              <a:spcPts val="1900"/>
            </a:lnSpc>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165100</xdr:colOff>
      <xdr:row>1</xdr:row>
      <xdr:rowOff>63500</xdr:rowOff>
    </xdr:from>
    <xdr:to>
      <xdr:col>1</xdr:col>
      <xdr:colOff>139700</xdr:colOff>
      <xdr:row>4</xdr:row>
      <xdr:rowOff>76200</xdr:rowOff>
    </xdr:to>
    <xdr:pic>
      <xdr:nvPicPr>
        <xdr:cNvPr id="9857" name="Picture 2" descr="C:\Documents and Settings\Administrator\My Documents\My Pictures\Prueba.jpg"/>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5100" y="254000"/>
          <a:ext cx="8509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41275</xdr:colOff>
      <xdr:row>0</xdr:row>
      <xdr:rowOff>28575</xdr:rowOff>
    </xdr:from>
    <xdr:to>
      <xdr:col>1</xdr:col>
      <xdr:colOff>1283755</xdr:colOff>
      <xdr:row>1</xdr:row>
      <xdr:rowOff>0</xdr:rowOff>
    </xdr:to>
    <xdr:sp macro="" textlink="">
      <xdr:nvSpPr>
        <xdr:cNvPr id="54346" name="AutoShape 50">
          <a:hlinkClick xmlns:r="http://schemas.openxmlformats.org/officeDocument/2006/relationships" r:id="rId1"/>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1086806</xdr:colOff>
      <xdr:row>1</xdr:row>
      <xdr:rowOff>9525</xdr:rowOff>
    </xdr:to>
    <xdr:sp macro="" textlink="">
      <xdr:nvSpPr>
        <xdr:cNvPr id="6445" name="AutoShape 50">
          <a:hlinkClick xmlns:r="http://schemas.openxmlformats.org/officeDocument/2006/relationships" r:id="rId1"/>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1143000</xdr:colOff>
      <xdr:row>34</xdr:row>
      <xdr:rowOff>139700</xdr:rowOff>
    </xdr:from>
    <xdr:to>
      <xdr:col>6</xdr:col>
      <xdr:colOff>1143000</xdr:colOff>
      <xdr:row>45</xdr:row>
      <xdr:rowOff>165100</xdr:rowOff>
    </xdr:to>
    <xdr:cxnSp macro="">
      <xdr:nvCxnSpPr>
        <xdr:cNvPr id="4286666" name="AutoShape 100"/>
        <xdr:cNvCxnSpPr>
          <a:cxnSpLocks noChangeShapeType="1"/>
        </xdr:cNvCxnSpPr>
      </xdr:nvCxnSpPr>
      <xdr:spPr bwMode="auto">
        <a:xfrm rot="5400000">
          <a:off x="9493250" y="6546850"/>
          <a:ext cx="23495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46</xdr:row>
      <xdr:rowOff>114300</xdr:rowOff>
    </xdr:from>
    <xdr:to>
      <xdr:col>4</xdr:col>
      <xdr:colOff>1219200</xdr:colOff>
      <xdr:row>46</xdr:row>
      <xdr:rowOff>114300</xdr:rowOff>
    </xdr:to>
    <xdr:cxnSp macro="">
      <xdr:nvCxnSpPr>
        <xdr:cNvPr id="4286667" name="AutoShape 101"/>
        <xdr:cNvCxnSpPr>
          <a:cxnSpLocks noChangeShapeType="1"/>
        </xdr:cNvCxnSpPr>
      </xdr:nvCxnSpPr>
      <xdr:spPr bwMode="auto">
        <a:xfrm rot="10800000">
          <a:off x="6934200" y="7874000"/>
          <a:ext cx="12192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215900</xdr:colOff>
      <xdr:row>2</xdr:row>
      <xdr:rowOff>0</xdr:rowOff>
    </xdr:from>
    <xdr:to>
      <xdr:col>0</xdr:col>
      <xdr:colOff>1351881</xdr:colOff>
      <xdr:row>2</xdr:row>
      <xdr:rowOff>441549</xdr:rowOff>
    </xdr:to>
    <xdr:sp macro="" textlink="">
      <xdr:nvSpPr>
        <xdr:cNvPr id="3189" name="Rectangle 117">
          <a:hlinkClick xmlns:r="http://schemas.openxmlformats.org/officeDocument/2006/relationships" r:id="rId1"/>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900"/>
            </a:lnSpc>
            <a:defRPr sz="1000"/>
          </a:pPr>
          <a:r>
            <a:rPr lang="en-ZA" sz="900" b="0" i="0" strike="noStrike">
              <a:solidFill>
                <a:srgbClr val="000000"/>
              </a:solidFill>
              <a:latin typeface="Calibri"/>
            </a:rPr>
            <a:t>http://www.crwflags.com/fotw/flags/country.html</a:t>
          </a:r>
        </a:p>
      </xdr:txBody>
    </xdr:sp>
    <xdr:clientData/>
  </xdr:twoCellAnchor>
  <xdr:twoCellAnchor>
    <xdr:from>
      <xdr:col>0</xdr:col>
      <xdr:colOff>44450</xdr:colOff>
      <xdr:row>0</xdr:row>
      <xdr:rowOff>6350</xdr:rowOff>
    </xdr:from>
    <xdr:to>
      <xdr:col>0</xdr:col>
      <xdr:colOff>1275527</xdr:colOff>
      <xdr:row>1</xdr:row>
      <xdr:rowOff>76401</xdr:rowOff>
    </xdr:to>
    <xdr:sp macro="" textlink="">
      <xdr:nvSpPr>
        <xdr:cNvPr id="3455" name="AutoShape 50">
          <a:hlinkClick xmlns:r="http://schemas.openxmlformats.org/officeDocument/2006/relationships" r:id="rId2"/>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25400</xdr:colOff>
      <xdr:row>9</xdr:row>
      <xdr:rowOff>101600</xdr:rowOff>
    </xdr:from>
    <xdr:to>
      <xdr:col>6</xdr:col>
      <xdr:colOff>25400</xdr:colOff>
      <xdr:row>20</xdr:row>
      <xdr:rowOff>177800</xdr:rowOff>
    </xdr:to>
    <xdr:graphicFrame macro="">
      <xdr:nvGraphicFramePr>
        <xdr:cNvPr id="442616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xdr:colOff>
      <xdr:row>0</xdr:row>
      <xdr:rowOff>28575</xdr:rowOff>
    </xdr:from>
    <xdr:to>
      <xdr:col>2</xdr:col>
      <xdr:colOff>10394</xdr:colOff>
      <xdr:row>0</xdr:row>
      <xdr:rowOff>349603</xdr:rowOff>
    </xdr:to>
    <xdr:sp macro="" textlink="">
      <xdr:nvSpPr>
        <xdr:cNvPr id="7519" name="AutoShape 50">
          <a:hlinkClick xmlns:r="http://schemas.openxmlformats.org/officeDocument/2006/relationships" r:id="rId2"/>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38100</xdr:colOff>
      <xdr:row>9</xdr:row>
      <xdr:rowOff>63500</xdr:rowOff>
    </xdr:from>
    <xdr:to>
      <xdr:col>11</xdr:col>
      <xdr:colOff>0</xdr:colOff>
      <xdr:row>21</xdr:row>
      <xdr:rowOff>12700</xdr:rowOff>
    </xdr:to>
    <xdr:grpSp>
      <xdr:nvGrpSpPr>
        <xdr:cNvPr id="4426165" name="Group 489"/>
        <xdr:cNvGrpSpPr>
          <a:grpSpLocks/>
        </xdr:cNvGrpSpPr>
      </xdr:nvGrpSpPr>
      <xdr:grpSpPr bwMode="auto">
        <a:xfrm>
          <a:off x="4483100" y="2146300"/>
          <a:ext cx="3975100" cy="2235200"/>
          <a:chOff x="410" y="229"/>
          <a:chExt cx="366" cy="234"/>
        </a:xfrm>
      </xdr:grpSpPr>
      <xdr:graphicFrame macro="">
        <xdr:nvGraphicFramePr>
          <xdr:cNvPr id="4426169" name="Chart 31"/>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4426170" name="Picture 477" descr="one"/>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6" y="441"/>
            <a:ext cx="297"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23</xdr:row>
      <xdr:rowOff>0</xdr:rowOff>
    </xdr:from>
    <xdr:to>
      <xdr:col>6</xdr:col>
      <xdr:colOff>0</xdr:colOff>
      <xdr:row>32</xdr:row>
      <xdr:rowOff>50800</xdr:rowOff>
    </xdr:to>
    <xdr:grpSp>
      <xdr:nvGrpSpPr>
        <xdr:cNvPr id="4426166" name="Group 490"/>
        <xdr:cNvGrpSpPr>
          <a:grpSpLocks/>
        </xdr:cNvGrpSpPr>
      </xdr:nvGrpSpPr>
      <xdr:grpSpPr bwMode="auto">
        <a:xfrm>
          <a:off x="0" y="4775200"/>
          <a:ext cx="4445000" cy="2209800"/>
          <a:chOff x="0" y="505"/>
          <a:chExt cx="407" cy="245"/>
        </a:xfrm>
      </xdr:grpSpPr>
      <xdr:graphicFrame macro="">
        <xdr:nvGraphicFramePr>
          <xdr:cNvPr id="4426167" name="Chart 34"/>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4426168" name="Picture 487" descr="ok"/>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6" y="708"/>
            <a:ext cx="259"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7</xdr:row>
      <xdr:rowOff>177800</xdr:rowOff>
    </xdr:from>
    <xdr:to>
      <xdr:col>12</xdr:col>
      <xdr:colOff>266700</xdr:colOff>
      <xdr:row>14</xdr:row>
      <xdr:rowOff>152400</xdr:rowOff>
    </xdr:to>
    <xdr:graphicFrame macro="">
      <xdr:nvGraphicFramePr>
        <xdr:cNvPr id="4983868" name="Chart 10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16</xdr:row>
      <xdr:rowOff>0</xdr:rowOff>
    </xdr:from>
    <xdr:to>
      <xdr:col>5</xdr:col>
      <xdr:colOff>1104900</xdr:colOff>
      <xdr:row>25</xdr:row>
      <xdr:rowOff>25400</xdr:rowOff>
    </xdr:to>
    <xdr:graphicFrame macro="">
      <xdr:nvGraphicFramePr>
        <xdr:cNvPr id="4983869" name="Chart 10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114300</xdr:colOff>
      <xdr:row>8</xdr:row>
      <xdr:rowOff>12700</xdr:rowOff>
    </xdr:from>
    <xdr:to>
      <xdr:col>5</xdr:col>
      <xdr:colOff>1257300</xdr:colOff>
      <xdr:row>14</xdr:row>
      <xdr:rowOff>63500</xdr:rowOff>
    </xdr:to>
    <xdr:graphicFrame macro="">
      <xdr:nvGraphicFramePr>
        <xdr:cNvPr id="4983870" name="Chart 10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12700</xdr:rowOff>
    </xdr:from>
    <xdr:to>
      <xdr:col>12</xdr:col>
      <xdr:colOff>203200</xdr:colOff>
      <xdr:row>25</xdr:row>
      <xdr:rowOff>25400</xdr:rowOff>
    </xdr:to>
    <xdr:graphicFrame macro="">
      <xdr:nvGraphicFramePr>
        <xdr:cNvPr id="4983871" name="Chart 10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241300</xdr:colOff>
      <xdr:row>27</xdr:row>
      <xdr:rowOff>50800</xdr:rowOff>
    </xdr:from>
    <xdr:to>
      <xdr:col>5</xdr:col>
      <xdr:colOff>749300</xdr:colOff>
      <xdr:row>33</xdr:row>
      <xdr:rowOff>254000</xdr:rowOff>
    </xdr:to>
    <xdr:graphicFrame macro="">
      <xdr:nvGraphicFramePr>
        <xdr:cNvPr id="4983872" name="Chart 10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6350</xdr:rowOff>
    </xdr:from>
    <xdr:to>
      <xdr:col>2</xdr:col>
      <xdr:colOff>3175</xdr:colOff>
      <xdr:row>0</xdr:row>
      <xdr:rowOff>352547</xdr:rowOff>
    </xdr:to>
    <xdr:sp macro="" textlink="">
      <xdr:nvSpPr>
        <xdr:cNvPr id="14769" name="AutoShape 50">
          <a:hlinkClick xmlns:r="http://schemas.openxmlformats.org/officeDocument/2006/relationships" r:id="rId6"/>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177800</xdr:colOff>
      <xdr:row>9</xdr:row>
      <xdr:rowOff>50800</xdr:rowOff>
    </xdr:from>
    <xdr:to>
      <xdr:col>11</xdr:col>
      <xdr:colOff>50800</xdr:colOff>
      <xdr:row>17</xdr:row>
      <xdr:rowOff>0</xdr:rowOff>
    </xdr:to>
    <xdr:graphicFrame macro="">
      <xdr:nvGraphicFramePr>
        <xdr:cNvPr id="3616226"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1057275</xdr:colOff>
      <xdr:row>1</xdr:row>
      <xdr:rowOff>0</xdr:rowOff>
    </xdr:to>
    <xdr:sp macro="" textlink="">
      <xdr:nvSpPr>
        <xdr:cNvPr id="21885" name="AutoShape 50">
          <a:hlinkClick xmlns:r="http://schemas.openxmlformats.org/officeDocument/2006/relationships" r:id="rId2"/>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406400</xdr:colOff>
      <xdr:row>9</xdr:row>
      <xdr:rowOff>76200</xdr:rowOff>
    </xdr:from>
    <xdr:to>
      <xdr:col>16</xdr:col>
      <xdr:colOff>863600</xdr:colOff>
      <xdr:row>17</xdr:row>
      <xdr:rowOff>12700</xdr:rowOff>
    </xdr:to>
    <xdr:graphicFrame macro="">
      <xdr:nvGraphicFramePr>
        <xdr:cNvPr id="3616228" name="Chart 4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762000</xdr:colOff>
      <xdr:row>9</xdr:row>
      <xdr:rowOff>88900</xdr:rowOff>
    </xdr:from>
    <xdr:to>
      <xdr:col>4</xdr:col>
      <xdr:colOff>457200</xdr:colOff>
      <xdr:row>17</xdr:row>
      <xdr:rowOff>63500</xdr:rowOff>
    </xdr:to>
    <xdr:graphicFrame macro="">
      <xdr:nvGraphicFramePr>
        <xdr:cNvPr id="3616229" name="Chart 5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889000</xdr:colOff>
      <xdr:row>20</xdr:row>
      <xdr:rowOff>0</xdr:rowOff>
    </xdr:from>
    <xdr:to>
      <xdr:col>7</xdr:col>
      <xdr:colOff>0</xdr:colOff>
      <xdr:row>20</xdr:row>
      <xdr:rowOff>0</xdr:rowOff>
    </xdr:to>
    <xdr:grpSp>
      <xdr:nvGrpSpPr>
        <xdr:cNvPr id="4409741" name="Group 47"/>
        <xdr:cNvGrpSpPr>
          <a:grpSpLocks/>
        </xdr:cNvGrpSpPr>
      </xdr:nvGrpSpPr>
      <xdr:grpSpPr bwMode="auto">
        <a:xfrm>
          <a:off x="5918200" y="5029200"/>
          <a:ext cx="101600" cy="0"/>
          <a:chOff x="698" y="540"/>
          <a:chExt cx="9" cy="9"/>
        </a:xfrm>
      </xdr:grpSpPr>
      <xdr:sp macro="" textlink="">
        <xdr:nvSpPr>
          <xdr:cNvPr id="3433393" name="Rectangle 47"/>
          <xdr:cNvSpPr>
            <a:spLocks noChangeArrowheads="1"/>
          </xdr:cNvSpPr>
        </xdr:nvSpPr>
        <xdr:spPr bwMode="auto">
          <a:xfrm rot="-5400000" flipH="1" flipV="1">
            <a:off x="-3350465346300" y="5029196"/>
            <a:ext cx="0"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grpSp>
    <xdr:clientData/>
  </xdr:twoCellAnchor>
  <xdr:twoCellAnchor>
    <xdr:from>
      <xdr:col>0</xdr:col>
      <xdr:colOff>9525</xdr:colOff>
      <xdr:row>0</xdr:row>
      <xdr:rowOff>76200</xdr:rowOff>
    </xdr:from>
    <xdr:to>
      <xdr:col>1</xdr:col>
      <xdr:colOff>1380146</xdr:colOff>
      <xdr:row>0</xdr:row>
      <xdr:rowOff>419100</xdr:rowOff>
    </xdr:to>
    <xdr:sp macro="" textlink="">
      <xdr:nvSpPr>
        <xdr:cNvPr id="1150121" name="AutoShape 50">
          <a:hlinkClick xmlns:r="http://schemas.openxmlformats.org/officeDocument/2006/relationships" r:id="rId1"/>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69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38100</xdr:rowOff>
    </xdr:from>
    <xdr:to>
      <xdr:col>1</xdr:col>
      <xdr:colOff>921850</xdr:colOff>
      <xdr:row>0</xdr:row>
      <xdr:rowOff>371475</xdr:rowOff>
    </xdr:to>
    <xdr:sp macro="" textlink="">
      <xdr:nvSpPr>
        <xdr:cNvPr id="33131" name="AutoShape 50">
          <a:hlinkClick xmlns:r="http://schemas.openxmlformats.org/officeDocument/2006/relationships" r:id="rId2"/>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51"/>
  </sheetPr>
  <dimension ref="B1:O22"/>
  <sheetViews>
    <sheetView showGridLines="0" showRowColHeaders="0" topLeftCell="B15" zoomScale="120" workbookViewId="0">
      <selection activeCell="N13" sqref="N13"/>
    </sheetView>
  </sheetViews>
  <sheetFormatPr baseColWidth="10" defaultColWidth="11" defaultRowHeight="15" x14ac:dyDescent="0.2"/>
  <cols>
    <col min="1" max="1" width="1.1640625" customWidth="1"/>
    <col min="2" max="10" width="11.5" customWidth="1"/>
    <col min="11" max="11" width="1.6640625" customWidth="1"/>
  </cols>
  <sheetData>
    <row r="1" spans="2:15" ht="25.5" customHeight="1" x14ac:dyDescent="0.2"/>
    <row r="2" spans="2:15" ht="37" x14ac:dyDescent="0.2">
      <c r="B2" s="519" t="str">
        <f>+'Grant Detail'!B3:J3</f>
        <v>Dashboard:  Ghana - MALARIA</v>
      </c>
      <c r="C2" s="519"/>
      <c r="D2" s="519"/>
      <c r="E2" s="519"/>
      <c r="F2" s="519"/>
      <c r="G2" s="519"/>
      <c r="H2" s="519"/>
      <c r="I2" s="519"/>
      <c r="J2" s="519"/>
      <c r="K2" s="519"/>
      <c r="L2" s="519"/>
      <c r="M2" s="1"/>
      <c r="N2" s="1"/>
      <c r="O2" s="1"/>
    </row>
    <row r="4" spans="2:15" ht="21" x14ac:dyDescent="0.25">
      <c r="B4" s="520" t="str">
        <f>+IF('Data Entry'!G6="Please Select", "",'Data Entry'!G6) &amp;"  "&amp;+IF('Data Entry'!G8="Please Select", "", 'Data Entry'!G8&amp;",  ")&amp;+IF('Data Entry'!I8="Please Select","",'Data Entry'!I8)</f>
        <v xml:space="preserve">MALARIA  </v>
      </c>
      <c r="C4" s="520"/>
      <c r="D4" s="520"/>
      <c r="E4" s="521"/>
      <c r="F4" s="233"/>
      <c r="G4" s="233"/>
      <c r="H4" s="356" t="str">
        <f>+'Data Entry'!B6&amp;" "&amp;+'Data Entry'!C6</f>
        <v>Grant No.: GHA-MOH-M</v>
      </c>
      <c r="I4" s="356"/>
      <c r="J4" s="232"/>
      <c r="K4" s="233"/>
      <c r="L4" s="233"/>
    </row>
    <row r="22" spans="2:12" ht="26" x14ac:dyDescent="0.3">
      <c r="B22" s="522" t="s">
        <v>406</v>
      </c>
      <c r="C22" s="523"/>
      <c r="D22" s="523"/>
      <c r="E22" s="523"/>
      <c r="F22" s="523"/>
      <c r="G22" s="523"/>
      <c r="H22" s="523"/>
      <c r="I22" s="523"/>
      <c r="J22" s="523"/>
      <c r="K22" s="523"/>
      <c r="L22" s="523"/>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dimension ref="B2:O144"/>
  <sheetViews>
    <sheetView showGridLines="0" topLeftCell="C1" zoomScale="80" zoomScaleNormal="80" zoomScalePageLayoutView="80" workbookViewId="0">
      <selection activeCell="G24" sqref="G24"/>
    </sheetView>
  </sheetViews>
  <sheetFormatPr baseColWidth="10" defaultColWidth="11" defaultRowHeight="15" x14ac:dyDescent="0.2"/>
  <cols>
    <col min="1" max="1" width="11.5" customWidth="1"/>
    <col min="2" max="2" width="16.1640625" customWidth="1"/>
    <col min="3" max="3" width="14.6640625" customWidth="1"/>
    <col min="4" max="4" width="15.5" customWidth="1"/>
    <col min="5" max="6" width="11.5" customWidth="1"/>
    <col min="7" max="7" width="14.5" customWidth="1"/>
    <col min="8" max="8" width="35.5" customWidth="1"/>
    <col min="9" max="9" width="45.6640625" customWidth="1"/>
    <col min="10" max="10" width="33.5" customWidth="1"/>
    <col min="11" max="12" width="11.5" customWidth="1"/>
    <col min="13" max="13" width="28.5" customWidth="1"/>
    <col min="14" max="14" width="46.5" customWidth="1"/>
  </cols>
  <sheetData>
    <row r="2" spans="2:15" ht="25.5" customHeight="1" x14ac:dyDescent="0.2"/>
    <row r="3" spans="2:15" ht="37" x14ac:dyDescent="0.2">
      <c r="B3" s="936" t="str">
        <f>'Grant Detail'!B3:J3</f>
        <v>Dashboard:  Ghana - MALARIA</v>
      </c>
      <c r="C3" s="936"/>
      <c r="D3" s="936"/>
      <c r="E3" s="936"/>
      <c r="F3" s="936"/>
      <c r="G3" s="936"/>
      <c r="H3" s="936"/>
      <c r="I3" s="1"/>
    </row>
    <row r="6" spans="2:15" ht="19" x14ac:dyDescent="0.25">
      <c r="B6" s="897" t="s">
        <v>319</v>
      </c>
      <c r="C6" s="897"/>
      <c r="D6" s="897"/>
      <c r="E6" s="897"/>
      <c r="F6" s="897"/>
      <c r="G6" s="897"/>
      <c r="H6" s="897"/>
    </row>
    <row r="8" spans="2:15" ht="19" x14ac:dyDescent="0.25">
      <c r="B8" s="62" t="s">
        <v>33</v>
      </c>
      <c r="C8" s="62" t="s">
        <v>36</v>
      </c>
      <c r="D8" s="62" t="s">
        <v>37</v>
      </c>
      <c r="E8" s="62" t="s">
        <v>42</v>
      </c>
      <c r="F8" s="62" t="s">
        <v>287</v>
      </c>
      <c r="G8" s="62" t="s">
        <v>266</v>
      </c>
      <c r="H8" s="62" t="s">
        <v>294</v>
      </c>
      <c r="I8" s="63" t="s">
        <v>88</v>
      </c>
      <c r="J8" s="63" t="s">
        <v>130</v>
      </c>
      <c r="M8" s="19"/>
      <c r="N8" s="19"/>
      <c r="O8" s="19"/>
    </row>
    <row r="9" spans="2:15" x14ac:dyDescent="0.2">
      <c r="B9" s="86" t="s">
        <v>373</v>
      </c>
      <c r="C9" s="86" t="s">
        <v>373</v>
      </c>
      <c r="D9" s="86" t="s">
        <v>373</v>
      </c>
      <c r="E9" s="86" t="s">
        <v>373</v>
      </c>
      <c r="F9" s="86" t="s">
        <v>373</v>
      </c>
      <c r="G9" s="86" t="s">
        <v>373</v>
      </c>
      <c r="H9" s="86" t="s">
        <v>373</v>
      </c>
      <c r="I9" s="430" t="s">
        <v>373</v>
      </c>
      <c r="J9" s="86" t="s">
        <v>373</v>
      </c>
      <c r="M9" s="19"/>
      <c r="N9" s="19"/>
      <c r="O9" s="19"/>
    </row>
    <row r="10" spans="2:15" x14ac:dyDescent="0.2">
      <c r="B10" s="57" t="s">
        <v>28</v>
      </c>
      <c r="C10" s="57" t="s">
        <v>19</v>
      </c>
      <c r="D10" s="57" t="s">
        <v>17</v>
      </c>
      <c r="E10" s="57" t="s">
        <v>18</v>
      </c>
      <c r="F10" s="57" t="s">
        <v>106</v>
      </c>
      <c r="G10" s="439" t="s">
        <v>44</v>
      </c>
      <c r="H10" s="60" t="s">
        <v>49</v>
      </c>
      <c r="I10" s="27" t="s">
        <v>300</v>
      </c>
      <c r="J10" s="86" t="s">
        <v>131</v>
      </c>
      <c r="M10" s="19"/>
      <c r="N10" s="19"/>
      <c r="O10" s="19"/>
    </row>
    <row r="11" spans="2:15" x14ac:dyDescent="0.2">
      <c r="B11" s="57" t="s">
        <v>34</v>
      </c>
      <c r="C11" s="57" t="s">
        <v>14</v>
      </c>
      <c r="D11" s="57" t="s">
        <v>20</v>
      </c>
      <c r="E11" s="57" t="s">
        <v>16</v>
      </c>
      <c r="F11" s="57" t="s">
        <v>107</v>
      </c>
      <c r="G11" s="439" t="s">
        <v>45</v>
      </c>
      <c r="H11" s="60" t="s">
        <v>50</v>
      </c>
      <c r="I11" s="27" t="s">
        <v>301</v>
      </c>
      <c r="J11" s="86" t="s">
        <v>132</v>
      </c>
      <c r="M11" s="19"/>
      <c r="N11" s="19"/>
      <c r="O11" s="19"/>
    </row>
    <row r="12" spans="2:15" x14ac:dyDescent="0.2">
      <c r="B12" s="57" t="s">
        <v>35</v>
      </c>
      <c r="D12" s="57" t="s">
        <v>23</v>
      </c>
      <c r="E12" s="57" t="s">
        <v>24</v>
      </c>
      <c r="F12" s="57" t="s">
        <v>108</v>
      </c>
      <c r="G12" s="439" t="s">
        <v>46</v>
      </c>
      <c r="H12" s="60" t="s">
        <v>51</v>
      </c>
      <c r="I12" s="27" t="s">
        <v>302</v>
      </c>
      <c r="J12" s="86" t="s">
        <v>133</v>
      </c>
      <c r="M12" s="199"/>
      <c r="N12" s="19"/>
      <c r="O12" s="19"/>
    </row>
    <row r="13" spans="2:15" x14ac:dyDescent="0.2">
      <c r="B13" s="57" t="s">
        <v>84</v>
      </c>
      <c r="D13" s="57" t="s">
        <v>25</v>
      </c>
      <c r="E13" s="58"/>
      <c r="F13" s="57" t="s">
        <v>109</v>
      </c>
      <c r="G13" s="439" t="s">
        <v>47</v>
      </c>
      <c r="H13" s="60" t="s">
        <v>52</v>
      </c>
      <c r="I13" s="27" t="s">
        <v>303</v>
      </c>
      <c r="J13" s="86" t="s">
        <v>134</v>
      </c>
      <c r="M13" s="199"/>
      <c r="N13" s="19"/>
      <c r="O13" s="19"/>
    </row>
    <row r="14" spans="2:15" x14ac:dyDescent="0.2">
      <c r="B14" s="57" t="s">
        <v>85</v>
      </c>
      <c r="D14" s="57" t="s">
        <v>38</v>
      </c>
      <c r="F14" s="57" t="s">
        <v>121</v>
      </c>
      <c r="G14" s="439" t="s">
        <v>48</v>
      </c>
      <c r="H14" s="60" t="s">
        <v>53</v>
      </c>
      <c r="I14" s="27" t="s">
        <v>272</v>
      </c>
      <c r="J14" s="86" t="s">
        <v>135</v>
      </c>
      <c r="M14" s="199"/>
      <c r="N14" s="19"/>
      <c r="O14" s="19"/>
    </row>
    <row r="15" spans="2:15" x14ac:dyDescent="0.2">
      <c r="D15" s="57" t="s">
        <v>39</v>
      </c>
      <c r="F15" s="57" t="s">
        <v>122</v>
      </c>
      <c r="H15" s="60" t="s">
        <v>54</v>
      </c>
      <c r="I15" s="27" t="s">
        <v>71</v>
      </c>
      <c r="J15" s="86" t="s">
        <v>136</v>
      </c>
      <c r="M15" s="199"/>
      <c r="N15" s="19"/>
      <c r="O15" s="19"/>
    </row>
    <row r="16" spans="2:15" x14ac:dyDescent="0.2">
      <c r="D16" s="57" t="s">
        <v>40</v>
      </c>
      <c r="F16" s="57" t="s">
        <v>123</v>
      </c>
      <c r="H16" s="60" t="s">
        <v>55</v>
      </c>
      <c r="I16" s="27" t="s">
        <v>72</v>
      </c>
      <c r="J16" s="86" t="s">
        <v>137</v>
      </c>
      <c r="M16" s="199"/>
      <c r="N16" s="19"/>
      <c r="O16" s="19"/>
    </row>
    <row r="17" spans="4:15" x14ac:dyDescent="0.2">
      <c r="D17" s="57" t="s">
        <v>41</v>
      </c>
      <c r="F17" s="57" t="s">
        <v>124</v>
      </c>
      <c r="H17" s="60" t="s">
        <v>56</v>
      </c>
      <c r="I17" s="27" t="s">
        <v>73</v>
      </c>
      <c r="J17" s="86" t="s">
        <v>138</v>
      </c>
      <c r="M17" s="199"/>
      <c r="N17" s="19"/>
      <c r="O17" s="19"/>
    </row>
    <row r="18" spans="4:15" x14ac:dyDescent="0.2">
      <c r="D18" s="57" t="s">
        <v>15</v>
      </c>
      <c r="F18" s="57" t="s">
        <v>125</v>
      </c>
      <c r="H18" s="60" t="s">
        <v>57</v>
      </c>
      <c r="I18" s="27" t="s">
        <v>74</v>
      </c>
      <c r="J18" s="86" t="s">
        <v>139</v>
      </c>
      <c r="M18" s="199"/>
      <c r="N18" s="19"/>
      <c r="O18" s="19"/>
    </row>
    <row r="19" spans="4:15" x14ac:dyDescent="0.2">
      <c r="D19" s="438" t="s">
        <v>369</v>
      </c>
      <c r="F19" s="57" t="s">
        <v>126</v>
      </c>
      <c r="H19" s="60" t="s">
        <v>58</v>
      </c>
      <c r="I19" s="27" t="s">
        <v>75</v>
      </c>
      <c r="J19" s="86" t="s">
        <v>140</v>
      </c>
      <c r="M19" s="199"/>
      <c r="N19" s="19"/>
      <c r="O19" s="19"/>
    </row>
    <row r="20" spans="4:15" x14ac:dyDescent="0.2">
      <c r="D20" s="59"/>
      <c r="F20" s="57" t="s">
        <v>127</v>
      </c>
      <c r="H20" s="60" t="s">
        <v>263</v>
      </c>
      <c r="I20" s="27" t="s">
        <v>76</v>
      </c>
      <c r="J20" s="86" t="s">
        <v>141</v>
      </c>
      <c r="M20" s="19"/>
      <c r="N20" s="19"/>
      <c r="O20" s="19"/>
    </row>
    <row r="21" spans="4:15" x14ac:dyDescent="0.2">
      <c r="D21" s="61"/>
      <c r="F21" s="57" t="s">
        <v>288</v>
      </c>
      <c r="H21" s="61"/>
      <c r="I21" s="27" t="s">
        <v>78</v>
      </c>
      <c r="J21" s="86" t="s">
        <v>142</v>
      </c>
      <c r="M21" s="19"/>
      <c r="N21" s="19"/>
      <c r="O21" s="19"/>
    </row>
    <row r="22" spans="4:15" x14ac:dyDescent="0.2">
      <c r="H22" s="61"/>
      <c r="I22" s="27" t="s">
        <v>79</v>
      </c>
      <c r="J22" s="86" t="s">
        <v>143</v>
      </c>
      <c r="M22" s="19"/>
      <c r="N22" s="19"/>
      <c r="O22" s="19"/>
    </row>
    <row r="23" spans="4:15" x14ac:dyDescent="0.2">
      <c r="I23" s="27" t="s">
        <v>77</v>
      </c>
      <c r="J23" s="86" t="s">
        <v>144</v>
      </c>
      <c r="M23" s="19"/>
      <c r="N23" s="19"/>
      <c r="O23" s="19"/>
    </row>
    <row r="24" spans="4:15" x14ac:dyDescent="0.2">
      <c r="I24" s="27" t="s">
        <v>310</v>
      </c>
      <c r="J24" s="86" t="s">
        <v>145</v>
      </c>
      <c r="M24" s="19"/>
      <c r="N24" s="19"/>
      <c r="O24" s="19"/>
    </row>
    <row r="25" spans="4:15" x14ac:dyDescent="0.2">
      <c r="I25" s="45"/>
      <c r="J25" s="86" t="s">
        <v>146</v>
      </c>
    </row>
    <row r="26" spans="4:15" x14ac:dyDescent="0.2">
      <c r="I26" s="27" t="s">
        <v>314</v>
      </c>
      <c r="J26" s="86" t="s">
        <v>147</v>
      </c>
    </row>
    <row r="27" spans="4:15" x14ac:dyDescent="0.2">
      <c r="I27" s="27" t="s">
        <v>309</v>
      </c>
      <c r="J27" s="86" t="s">
        <v>148</v>
      </c>
    </row>
    <row r="28" spans="4:15" x14ac:dyDescent="0.2">
      <c r="I28" s="45"/>
      <c r="J28" s="86" t="s">
        <v>149</v>
      </c>
    </row>
    <row r="29" spans="4:15" x14ac:dyDescent="0.2">
      <c r="I29" s="45"/>
      <c r="J29" s="86" t="s">
        <v>150</v>
      </c>
    </row>
    <row r="30" spans="4:15" x14ac:dyDescent="0.2">
      <c r="I30" s="45"/>
      <c r="J30" s="86" t="s">
        <v>151</v>
      </c>
    </row>
    <row r="31" spans="4:15" x14ac:dyDescent="0.2">
      <c r="J31" s="86" t="s">
        <v>152</v>
      </c>
    </row>
    <row r="32" spans="4:15" x14ac:dyDescent="0.2">
      <c r="J32" s="86" t="s">
        <v>153</v>
      </c>
    </row>
    <row r="33" spans="10:10" x14ac:dyDescent="0.2">
      <c r="J33" s="86" t="s">
        <v>154</v>
      </c>
    </row>
    <row r="34" spans="10:10" x14ac:dyDescent="0.2">
      <c r="J34" s="86" t="s">
        <v>155</v>
      </c>
    </row>
    <row r="35" spans="10:10" x14ac:dyDescent="0.2">
      <c r="J35" s="86" t="s">
        <v>156</v>
      </c>
    </row>
    <row r="36" spans="10:10" x14ac:dyDescent="0.2">
      <c r="J36" s="86" t="s">
        <v>156</v>
      </c>
    </row>
    <row r="37" spans="10:10" x14ac:dyDescent="0.2">
      <c r="J37" s="86" t="s">
        <v>157</v>
      </c>
    </row>
    <row r="38" spans="10:10" x14ac:dyDescent="0.2">
      <c r="J38" s="86" t="s">
        <v>158</v>
      </c>
    </row>
    <row r="39" spans="10:10" x14ac:dyDescent="0.2">
      <c r="J39" s="86" t="s">
        <v>159</v>
      </c>
    </row>
    <row r="40" spans="10:10" x14ac:dyDescent="0.2">
      <c r="J40" s="86" t="s">
        <v>160</v>
      </c>
    </row>
    <row r="41" spans="10:10" x14ac:dyDescent="0.2">
      <c r="J41" s="86" t="s">
        <v>161</v>
      </c>
    </row>
    <row r="42" spans="10:10" x14ac:dyDescent="0.2">
      <c r="J42" s="86" t="s">
        <v>162</v>
      </c>
    </row>
    <row r="43" spans="10:10" x14ac:dyDescent="0.2">
      <c r="J43" s="86" t="s">
        <v>163</v>
      </c>
    </row>
    <row r="44" spans="10:10" x14ac:dyDescent="0.2">
      <c r="J44" s="86" t="s">
        <v>164</v>
      </c>
    </row>
    <row r="45" spans="10:10" x14ac:dyDescent="0.2">
      <c r="J45" s="86" t="s">
        <v>165</v>
      </c>
    </row>
    <row r="46" spans="10:10" x14ac:dyDescent="0.2">
      <c r="J46" s="86" t="s">
        <v>166</v>
      </c>
    </row>
    <row r="47" spans="10:10" x14ac:dyDescent="0.2">
      <c r="J47" s="86" t="s">
        <v>167</v>
      </c>
    </row>
    <row r="48" spans="10:10" x14ac:dyDescent="0.2">
      <c r="J48" s="86" t="s">
        <v>168</v>
      </c>
    </row>
    <row r="49" spans="10:10" x14ac:dyDescent="0.2">
      <c r="J49" s="86" t="s">
        <v>169</v>
      </c>
    </row>
    <row r="50" spans="10:10" x14ac:dyDescent="0.2">
      <c r="J50" s="86" t="s">
        <v>170</v>
      </c>
    </row>
    <row r="51" spans="10:10" x14ac:dyDescent="0.2">
      <c r="J51" s="86" t="s">
        <v>171</v>
      </c>
    </row>
    <row r="52" spans="10:10" x14ac:dyDescent="0.2">
      <c r="J52" s="86" t="s">
        <v>172</v>
      </c>
    </row>
    <row r="53" spans="10:10" x14ac:dyDescent="0.2">
      <c r="J53" s="86" t="s">
        <v>173</v>
      </c>
    </row>
    <row r="54" spans="10:10" x14ac:dyDescent="0.2">
      <c r="J54" s="86" t="s">
        <v>174</v>
      </c>
    </row>
    <row r="55" spans="10:10" x14ac:dyDescent="0.2">
      <c r="J55" s="86" t="s">
        <v>175</v>
      </c>
    </row>
    <row r="56" spans="10:10" x14ac:dyDescent="0.2">
      <c r="J56" s="86" t="s">
        <v>176</v>
      </c>
    </row>
    <row r="57" spans="10:10" x14ac:dyDescent="0.2">
      <c r="J57" s="86" t="s">
        <v>177</v>
      </c>
    </row>
    <row r="58" spans="10:10" x14ac:dyDescent="0.2">
      <c r="J58" s="86" t="s">
        <v>178</v>
      </c>
    </row>
    <row r="59" spans="10:10" x14ac:dyDescent="0.2">
      <c r="J59" s="86" t="s">
        <v>179</v>
      </c>
    </row>
    <row r="60" spans="10:10" x14ac:dyDescent="0.2">
      <c r="J60" s="86" t="s">
        <v>180</v>
      </c>
    </row>
    <row r="61" spans="10:10" x14ac:dyDescent="0.2">
      <c r="J61" s="86" t="s">
        <v>181</v>
      </c>
    </row>
    <row r="62" spans="10:10" x14ac:dyDescent="0.2">
      <c r="J62" s="86" t="s">
        <v>182</v>
      </c>
    </row>
    <row r="63" spans="10:10" x14ac:dyDescent="0.2">
      <c r="J63" s="86" t="s">
        <v>183</v>
      </c>
    </row>
    <row r="64" spans="10:10" x14ac:dyDescent="0.2">
      <c r="J64" s="86" t="s">
        <v>184</v>
      </c>
    </row>
    <row r="65" spans="10:10" x14ac:dyDescent="0.2">
      <c r="J65" s="86" t="s">
        <v>185</v>
      </c>
    </row>
    <row r="66" spans="10:10" x14ac:dyDescent="0.2">
      <c r="J66" s="86" t="s">
        <v>186</v>
      </c>
    </row>
    <row r="67" spans="10:10" x14ac:dyDescent="0.2">
      <c r="J67" s="86" t="s">
        <v>187</v>
      </c>
    </row>
    <row r="68" spans="10:10" x14ac:dyDescent="0.2">
      <c r="J68" s="86" t="s">
        <v>188</v>
      </c>
    </row>
    <row r="69" spans="10:10" x14ac:dyDescent="0.2">
      <c r="J69" s="86" t="s">
        <v>189</v>
      </c>
    </row>
    <row r="70" spans="10:10" x14ac:dyDescent="0.2">
      <c r="J70" s="86" t="s">
        <v>190</v>
      </c>
    </row>
    <row r="71" spans="10:10" x14ac:dyDescent="0.2">
      <c r="J71" s="86" t="s">
        <v>191</v>
      </c>
    </row>
    <row r="72" spans="10:10" x14ac:dyDescent="0.2">
      <c r="J72" s="86" t="s">
        <v>192</v>
      </c>
    </row>
    <row r="73" spans="10:10" x14ac:dyDescent="0.2">
      <c r="J73" s="86" t="s">
        <v>193</v>
      </c>
    </row>
    <row r="74" spans="10:10" x14ac:dyDescent="0.2">
      <c r="J74" s="86" t="s">
        <v>194</v>
      </c>
    </row>
    <row r="75" spans="10:10" x14ac:dyDescent="0.2">
      <c r="J75" s="86" t="s">
        <v>195</v>
      </c>
    </row>
    <row r="76" spans="10:10" x14ac:dyDescent="0.2">
      <c r="J76" s="86" t="s">
        <v>196</v>
      </c>
    </row>
    <row r="77" spans="10:10" x14ac:dyDescent="0.2">
      <c r="J77" s="86" t="s">
        <v>197</v>
      </c>
    </row>
    <row r="78" spans="10:10" x14ac:dyDescent="0.2">
      <c r="J78" s="86" t="s">
        <v>198</v>
      </c>
    </row>
    <row r="79" spans="10:10" x14ac:dyDescent="0.2">
      <c r="J79" s="86" t="s">
        <v>199</v>
      </c>
    </row>
    <row r="80" spans="10:10" x14ac:dyDescent="0.2">
      <c r="J80" s="86" t="s">
        <v>200</v>
      </c>
    </row>
    <row r="81" spans="10:10" x14ac:dyDescent="0.2">
      <c r="J81" s="86" t="s">
        <v>201</v>
      </c>
    </row>
    <row r="82" spans="10:10" x14ac:dyDescent="0.2">
      <c r="J82" s="86" t="s">
        <v>202</v>
      </c>
    </row>
    <row r="83" spans="10:10" x14ac:dyDescent="0.2">
      <c r="J83" s="86" t="s">
        <v>203</v>
      </c>
    </row>
    <row r="84" spans="10:10" x14ac:dyDescent="0.2">
      <c r="J84" s="86" t="s">
        <v>204</v>
      </c>
    </row>
    <row r="85" spans="10:10" x14ac:dyDescent="0.2">
      <c r="J85" s="86" t="s">
        <v>205</v>
      </c>
    </row>
    <row r="86" spans="10:10" x14ac:dyDescent="0.2">
      <c r="J86" s="86" t="s">
        <v>206</v>
      </c>
    </row>
    <row r="87" spans="10:10" x14ac:dyDescent="0.2">
      <c r="J87" s="86" t="s">
        <v>207</v>
      </c>
    </row>
    <row r="88" spans="10:10" x14ac:dyDescent="0.2">
      <c r="J88" s="86" t="s">
        <v>208</v>
      </c>
    </row>
    <row r="89" spans="10:10" x14ac:dyDescent="0.2">
      <c r="J89" s="86" t="s">
        <v>209</v>
      </c>
    </row>
    <row r="90" spans="10:10" x14ac:dyDescent="0.2">
      <c r="J90" s="86" t="s">
        <v>210</v>
      </c>
    </row>
    <row r="91" spans="10:10" x14ac:dyDescent="0.2">
      <c r="J91" s="86" t="s">
        <v>211</v>
      </c>
    </row>
    <row r="92" spans="10:10" x14ac:dyDescent="0.2">
      <c r="J92" s="86" t="s">
        <v>212</v>
      </c>
    </row>
    <row r="93" spans="10:10" x14ac:dyDescent="0.2">
      <c r="J93" s="86" t="s">
        <v>213</v>
      </c>
    </row>
    <row r="94" spans="10:10" x14ac:dyDescent="0.2">
      <c r="J94" s="86" t="s">
        <v>214</v>
      </c>
    </row>
    <row r="95" spans="10:10" x14ac:dyDescent="0.2">
      <c r="J95" s="86" t="s">
        <v>215</v>
      </c>
    </row>
    <row r="96" spans="10:10" x14ac:dyDescent="0.2">
      <c r="J96" s="86" t="s">
        <v>216</v>
      </c>
    </row>
    <row r="97" spans="10:10" x14ac:dyDescent="0.2">
      <c r="J97" s="86" t="s">
        <v>217</v>
      </c>
    </row>
    <row r="98" spans="10:10" x14ac:dyDescent="0.2">
      <c r="J98" s="86" t="s">
        <v>218</v>
      </c>
    </row>
    <row r="99" spans="10:10" x14ac:dyDescent="0.2">
      <c r="J99" s="86" t="s">
        <v>219</v>
      </c>
    </row>
    <row r="100" spans="10:10" x14ac:dyDescent="0.2">
      <c r="J100" s="86" t="s">
        <v>220</v>
      </c>
    </row>
    <row r="101" spans="10:10" x14ac:dyDescent="0.2">
      <c r="J101" s="86" t="s">
        <v>221</v>
      </c>
    </row>
    <row r="102" spans="10:10" x14ac:dyDescent="0.2">
      <c r="J102" s="86" t="s">
        <v>222</v>
      </c>
    </row>
    <row r="103" spans="10:10" x14ac:dyDescent="0.2">
      <c r="J103" s="86" t="s">
        <v>223</v>
      </c>
    </row>
    <row r="104" spans="10:10" x14ac:dyDescent="0.2">
      <c r="J104" s="86" t="s">
        <v>224</v>
      </c>
    </row>
    <row r="105" spans="10:10" x14ac:dyDescent="0.2">
      <c r="J105" s="86" t="s">
        <v>225</v>
      </c>
    </row>
    <row r="106" spans="10:10" x14ac:dyDescent="0.2">
      <c r="J106" s="86" t="s">
        <v>226</v>
      </c>
    </row>
    <row r="107" spans="10:10" x14ac:dyDescent="0.2">
      <c r="J107" s="86" t="s">
        <v>227</v>
      </c>
    </row>
    <row r="108" spans="10:10" x14ac:dyDescent="0.2">
      <c r="J108" s="86" t="s">
        <v>228</v>
      </c>
    </row>
    <row r="109" spans="10:10" x14ac:dyDescent="0.2">
      <c r="J109" s="86" t="s">
        <v>229</v>
      </c>
    </row>
    <row r="110" spans="10:10" x14ac:dyDescent="0.2">
      <c r="J110" s="86" t="s">
        <v>230</v>
      </c>
    </row>
    <row r="111" spans="10:10" x14ac:dyDescent="0.2">
      <c r="J111" s="86" t="s">
        <v>81</v>
      </c>
    </row>
    <row r="112" spans="10:10" x14ac:dyDescent="0.2">
      <c r="J112" s="86" t="s">
        <v>231</v>
      </c>
    </row>
    <row r="113" spans="10:10" x14ac:dyDescent="0.2">
      <c r="J113" s="86" t="s">
        <v>232</v>
      </c>
    </row>
    <row r="114" spans="10:10" x14ac:dyDescent="0.2">
      <c r="J114" s="86" t="s">
        <v>233</v>
      </c>
    </row>
    <row r="115" spans="10:10" x14ac:dyDescent="0.2">
      <c r="J115" s="86" t="s">
        <v>234</v>
      </c>
    </row>
    <row r="116" spans="10:10" x14ac:dyDescent="0.2">
      <c r="J116" s="86" t="s">
        <v>235</v>
      </c>
    </row>
    <row r="117" spans="10:10" x14ac:dyDescent="0.2">
      <c r="J117" s="86" t="s">
        <v>236</v>
      </c>
    </row>
    <row r="118" spans="10:10" x14ac:dyDescent="0.2">
      <c r="J118" s="86" t="s">
        <v>237</v>
      </c>
    </row>
    <row r="119" spans="10:10" x14ac:dyDescent="0.2">
      <c r="J119" s="86" t="s">
        <v>238</v>
      </c>
    </row>
    <row r="120" spans="10:10" x14ac:dyDescent="0.2">
      <c r="J120" s="86" t="s">
        <v>239</v>
      </c>
    </row>
    <row r="121" spans="10:10" x14ac:dyDescent="0.2">
      <c r="J121" s="86" t="s">
        <v>240</v>
      </c>
    </row>
    <row r="122" spans="10:10" x14ac:dyDescent="0.2">
      <c r="J122" s="86" t="s">
        <v>241</v>
      </c>
    </row>
    <row r="123" spans="10:10" x14ac:dyDescent="0.2">
      <c r="J123" s="86" t="s">
        <v>242</v>
      </c>
    </row>
    <row r="124" spans="10:10" x14ac:dyDescent="0.2">
      <c r="J124" s="86" t="s">
        <v>243</v>
      </c>
    </row>
    <row r="125" spans="10:10" x14ac:dyDescent="0.2">
      <c r="J125" s="86" t="s">
        <v>244</v>
      </c>
    </row>
    <row r="126" spans="10:10" x14ac:dyDescent="0.2">
      <c r="J126" s="86" t="s">
        <v>245</v>
      </c>
    </row>
    <row r="127" spans="10:10" x14ac:dyDescent="0.2">
      <c r="J127" s="86" t="s">
        <v>246</v>
      </c>
    </row>
    <row r="128" spans="10:10" x14ac:dyDescent="0.2">
      <c r="J128" s="86" t="s">
        <v>247</v>
      </c>
    </row>
    <row r="129" spans="10:10" x14ac:dyDescent="0.2">
      <c r="J129" s="86" t="s">
        <v>248</v>
      </c>
    </row>
    <row r="130" spans="10:10" x14ac:dyDescent="0.2">
      <c r="J130" s="86" t="s">
        <v>249</v>
      </c>
    </row>
    <row r="131" spans="10:10" x14ac:dyDescent="0.2">
      <c r="J131" s="86" t="s">
        <v>250</v>
      </c>
    </row>
    <row r="132" spans="10:10" x14ac:dyDescent="0.2">
      <c r="J132" s="86" t="s">
        <v>251</v>
      </c>
    </row>
    <row r="133" spans="10:10" x14ac:dyDescent="0.2">
      <c r="J133" s="86" t="s">
        <v>252</v>
      </c>
    </row>
    <row r="134" spans="10:10" x14ac:dyDescent="0.2">
      <c r="J134" s="86" t="s">
        <v>253</v>
      </c>
    </row>
    <row r="135" spans="10:10" x14ac:dyDescent="0.2">
      <c r="J135" s="86" t="s">
        <v>254</v>
      </c>
    </row>
    <row r="136" spans="10:10" x14ac:dyDescent="0.2">
      <c r="J136" s="86" t="s">
        <v>255</v>
      </c>
    </row>
    <row r="137" spans="10:10" x14ac:dyDescent="0.2">
      <c r="J137" s="86" t="s">
        <v>256</v>
      </c>
    </row>
    <row r="138" spans="10:10" x14ac:dyDescent="0.2">
      <c r="J138" s="86" t="s">
        <v>257</v>
      </c>
    </row>
    <row r="139" spans="10:10" x14ac:dyDescent="0.2">
      <c r="J139" s="86" t="s">
        <v>258</v>
      </c>
    </row>
    <row r="140" spans="10:10" x14ac:dyDescent="0.2">
      <c r="J140" s="86" t="s">
        <v>259</v>
      </c>
    </row>
    <row r="141" spans="10:10" x14ac:dyDescent="0.2">
      <c r="J141" s="86" t="s">
        <v>260</v>
      </c>
    </row>
    <row r="142" spans="10:10" x14ac:dyDescent="0.2">
      <c r="J142" s="86" t="s">
        <v>261</v>
      </c>
    </row>
    <row r="143" spans="10:10" x14ac:dyDescent="0.2">
      <c r="J143" s="86" t="s">
        <v>262</v>
      </c>
    </row>
    <row r="144" spans="10:10" x14ac:dyDescent="0.2">
      <c r="J144" s="428"/>
    </row>
  </sheetData>
  <mergeCells count="2">
    <mergeCell ref="B3:H3"/>
    <mergeCell ref="B6:H6"/>
  </mergeCells>
  <phoneticPr fontId="30" type="noConversion"/>
  <dataValidations count="1">
    <dataValidation type="list" allowBlank="1" showInputMessage="1" showErrorMessage="1" sqref="M28">
      <formula1>$J$10:$J$143</formula1>
    </dataValidation>
  </dataValidations>
  <pageMargins left="0.75" right="0.75" top="1" bottom="1" header="0.3" footer="0.3"/>
  <pageSetup orientation="landscape" horizontalDpi="4294967293"/>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FFC000"/>
  </sheetPr>
  <dimension ref="A1:V53"/>
  <sheetViews>
    <sheetView showGridLines="0" topLeftCell="B1" zoomScale="80" workbookViewId="0">
      <pane ySplit="2" topLeftCell="A3" activePane="bottomLeft" state="frozen"/>
      <selection activeCell="E22" sqref="E22"/>
      <selection pane="bottomLeft" activeCell="B30" sqref="B30:O30"/>
    </sheetView>
  </sheetViews>
  <sheetFormatPr baseColWidth="10" defaultColWidth="11" defaultRowHeight="15" x14ac:dyDescent="0.2"/>
  <cols>
    <col min="1" max="1" width="2.6640625" customWidth="1"/>
    <col min="2" max="2" width="21.5" customWidth="1"/>
    <col min="3" max="3" width="11.5" customWidth="1"/>
    <col min="4" max="4" width="11.1640625" customWidth="1"/>
    <col min="5" max="5" width="16.5" customWidth="1"/>
    <col min="6" max="6" width="15.6640625" customWidth="1"/>
    <col min="7" max="7" width="38.1640625" customWidth="1"/>
    <col min="8" max="8" width="17.33203125" customWidth="1"/>
    <col min="9" max="9" width="18.5" customWidth="1"/>
    <col min="10" max="10" width="16.1640625" customWidth="1"/>
    <col min="11" max="11" width="17.83203125" customWidth="1"/>
    <col min="12" max="12" width="31.33203125" customWidth="1"/>
    <col min="13" max="13" width="49.5" customWidth="1"/>
    <col min="14" max="14" width="2.5" style="36" customWidth="1"/>
    <col min="15" max="15" width="3" style="36" customWidth="1"/>
    <col min="16" max="16" width="2.5" customWidth="1"/>
    <col min="17" max="17" width="16.1640625" customWidth="1"/>
    <col min="18" max="18" width="13.6640625" customWidth="1"/>
    <col min="19" max="19" width="11.5" customWidth="1"/>
    <col min="20" max="20" width="14.83203125" customWidth="1"/>
    <col min="21" max="21" width="16" customWidth="1"/>
    <col min="22" max="22" width="11.5" hidden="1" customWidth="1"/>
    <col min="23" max="23" width="15.5" customWidth="1"/>
    <col min="24" max="24" width="11.5" customWidth="1"/>
    <col min="25" max="25" width="2.33203125" customWidth="1"/>
    <col min="26" max="26" width="1.1640625" customWidth="1"/>
    <col min="27" max="27" width="3.33203125" customWidth="1"/>
    <col min="28" max="28" width="17" customWidth="1"/>
    <col min="29" max="29" width="15" customWidth="1"/>
    <col min="30" max="30" width="11.5" customWidth="1"/>
    <col min="31" max="31" width="13.5" customWidth="1"/>
    <col min="32" max="32" width="16.83203125" customWidth="1"/>
    <col min="33" max="33" width="11.5" customWidth="1"/>
    <col min="34" max="34" width="2" customWidth="1"/>
    <col min="35" max="35" width="3.33203125" customWidth="1"/>
    <col min="36" max="36" width="2.33203125" customWidth="1"/>
    <col min="37" max="37" width="40.6640625" customWidth="1"/>
    <col min="38" max="38" width="15.5" customWidth="1"/>
  </cols>
  <sheetData>
    <row r="1" spans="1:15" ht="34.5" customHeight="1" x14ac:dyDescent="0.2">
      <c r="A1" s="3"/>
      <c r="B1" s="3"/>
      <c r="C1" s="3"/>
      <c r="D1" s="3"/>
      <c r="E1" s="3"/>
      <c r="F1" s="3"/>
      <c r="G1" s="3"/>
      <c r="H1" s="3"/>
      <c r="I1" s="3"/>
      <c r="J1" s="3"/>
      <c r="K1" s="3"/>
      <c r="L1" s="3"/>
      <c r="M1" s="3"/>
    </row>
    <row r="2" spans="1:15" ht="36" customHeight="1" x14ac:dyDescent="0.2">
      <c r="A2" s="3"/>
      <c r="B2" s="537" t="str">
        <f>+"Dashboard: "&amp;" "&amp;+IF('Data Entry'!C4="Please Select","",'Data Entry'!C4&amp;" - ")&amp;+IF('Data Entry'!G6="Please Select","",'Data Entry'!G6)</f>
        <v>Dashboard:  Ghana - MALARIA</v>
      </c>
      <c r="C2" s="537"/>
      <c r="D2" s="537"/>
      <c r="E2" s="537"/>
      <c r="F2" s="537"/>
      <c r="G2" s="537"/>
      <c r="H2" s="537"/>
      <c r="I2" s="537"/>
      <c r="J2" s="537"/>
      <c r="K2" s="537"/>
      <c r="L2" s="537"/>
      <c r="M2" s="537"/>
    </row>
    <row r="3" spans="1:15" ht="15.75" customHeight="1" x14ac:dyDescent="0.2">
      <c r="A3" s="3"/>
      <c r="B3" s="224"/>
      <c r="C3" s="224"/>
      <c r="D3" s="224"/>
      <c r="E3" s="224"/>
      <c r="F3" s="224"/>
      <c r="G3" s="224"/>
      <c r="H3" s="224"/>
      <c r="I3" s="224"/>
      <c r="J3" s="224"/>
      <c r="K3" s="225"/>
      <c r="L3" s="225"/>
      <c r="M3" s="3"/>
    </row>
    <row r="5" spans="1:15" ht="24" x14ac:dyDescent="0.3">
      <c r="B5" s="538" t="s">
        <v>284</v>
      </c>
      <c r="C5" s="538"/>
      <c r="D5" s="538"/>
      <c r="E5" s="538"/>
      <c r="F5" s="538"/>
      <c r="G5" s="538"/>
      <c r="H5" s="538"/>
      <c r="I5" s="538"/>
      <c r="J5" s="538"/>
      <c r="K5" s="538"/>
      <c r="L5" s="538"/>
      <c r="M5" s="538"/>
      <c r="N5" s="538"/>
      <c r="O5" s="538"/>
    </row>
    <row r="7" spans="1:15" ht="21" x14ac:dyDescent="0.25">
      <c r="B7" s="539" t="s">
        <v>273</v>
      </c>
      <c r="C7" s="540"/>
      <c r="D7" s="541"/>
      <c r="E7" s="539" t="s">
        <v>274</v>
      </c>
      <c r="F7" s="540"/>
      <c r="G7" s="540"/>
      <c r="H7" s="540"/>
      <c r="I7" s="541"/>
      <c r="J7" s="539" t="s">
        <v>275</v>
      </c>
      <c r="K7" s="540"/>
      <c r="L7" s="541"/>
      <c r="M7" s="539" t="s">
        <v>347</v>
      </c>
      <c r="N7" s="540"/>
      <c r="O7" s="541"/>
    </row>
    <row r="8" spans="1:15" ht="92.25" customHeight="1" x14ac:dyDescent="0.2">
      <c r="B8" s="524" t="str">
        <f>+'Data Entry'!B27</f>
        <v>F1: Budget and disbursements by Global Fund</v>
      </c>
      <c r="C8" s="525"/>
      <c r="D8" s="526"/>
      <c r="E8" s="542" t="s">
        <v>394</v>
      </c>
      <c r="F8" s="543"/>
      <c r="G8" s="543"/>
      <c r="H8" s="543"/>
      <c r="I8" s="544"/>
      <c r="J8" s="530" t="s">
        <v>348</v>
      </c>
      <c r="K8" s="531"/>
      <c r="L8" s="532"/>
      <c r="M8" s="530" t="s">
        <v>395</v>
      </c>
      <c r="N8" s="531"/>
      <c r="O8" s="532"/>
    </row>
    <row r="9" spans="1:15" ht="117.75" customHeight="1" x14ac:dyDescent="0.2">
      <c r="B9" s="524" t="str">
        <f>+'Data Entry'!B36</f>
        <v>F2: Budget and actual expenditures by Grant Objective</v>
      </c>
      <c r="C9" s="525"/>
      <c r="D9" s="526"/>
      <c r="E9" s="527" t="s">
        <v>356</v>
      </c>
      <c r="F9" s="528"/>
      <c r="G9" s="528"/>
      <c r="H9" s="528"/>
      <c r="I9" s="529"/>
      <c r="J9" s="530" t="s">
        <v>350</v>
      </c>
      <c r="K9" s="531"/>
      <c r="L9" s="532"/>
      <c r="M9" s="530" t="s">
        <v>395</v>
      </c>
      <c r="N9" s="531"/>
      <c r="O9" s="532"/>
    </row>
    <row r="10" spans="1:15" ht="152.25" customHeight="1" x14ac:dyDescent="0.2">
      <c r="B10" s="545" t="str">
        <f>+'Data Entry'!B49</f>
        <v>F3: Disbursements and expenditures</v>
      </c>
      <c r="C10" s="548"/>
      <c r="D10" s="549"/>
      <c r="E10" s="527" t="s">
        <v>396</v>
      </c>
      <c r="F10" s="528"/>
      <c r="G10" s="528"/>
      <c r="H10" s="528"/>
      <c r="I10" s="529"/>
      <c r="J10" s="530" t="s">
        <v>357</v>
      </c>
      <c r="K10" s="531"/>
      <c r="L10" s="532"/>
      <c r="M10" s="530" t="s">
        <v>349</v>
      </c>
      <c r="N10" s="531"/>
      <c r="O10" s="532"/>
    </row>
    <row r="11" spans="1:15" ht="279.75" customHeight="1" x14ac:dyDescent="0.2">
      <c r="B11" s="545" t="str">
        <f>+'Data Entry'!B58</f>
        <v>F4: Latest PR reporting and disbursement cycle</v>
      </c>
      <c r="C11" s="546"/>
      <c r="D11" s="547"/>
      <c r="E11" s="527" t="s">
        <v>407</v>
      </c>
      <c r="F11" s="528"/>
      <c r="G11" s="528"/>
      <c r="H11" s="528"/>
      <c r="I11" s="529"/>
      <c r="J11" s="530" t="s">
        <v>358</v>
      </c>
      <c r="K11" s="531"/>
      <c r="L11" s="532"/>
      <c r="M11" s="530" t="s">
        <v>278</v>
      </c>
      <c r="N11" s="531"/>
      <c r="O11" s="532"/>
    </row>
    <row r="12" spans="1:15" s="19" customFormat="1" x14ac:dyDescent="0.2">
      <c r="B12" s="533"/>
      <c r="C12" s="533"/>
      <c r="D12" s="533"/>
      <c r="E12" s="534"/>
      <c r="F12" s="534"/>
      <c r="G12" s="534"/>
      <c r="H12" s="534"/>
      <c r="I12" s="534"/>
      <c r="J12" s="534"/>
      <c r="K12" s="534"/>
      <c r="L12" s="534"/>
      <c r="M12" s="534"/>
      <c r="N12" s="534"/>
      <c r="O12" s="534"/>
    </row>
    <row r="13" spans="1:15" s="19" customFormat="1" x14ac:dyDescent="0.2">
      <c r="B13" s="554"/>
      <c r="C13" s="554"/>
      <c r="D13" s="554"/>
      <c r="E13" s="550"/>
      <c r="F13" s="550"/>
      <c r="G13" s="550"/>
      <c r="H13" s="550"/>
      <c r="I13" s="550"/>
      <c r="J13" s="550"/>
      <c r="K13" s="550"/>
      <c r="L13" s="550"/>
      <c r="M13" s="550"/>
      <c r="N13" s="550"/>
      <c r="O13" s="550"/>
    </row>
    <row r="14" spans="1:15" s="19" customFormat="1" x14ac:dyDescent="0.2">
      <c r="B14" s="554"/>
      <c r="C14" s="554"/>
      <c r="D14" s="554"/>
      <c r="E14" s="550"/>
      <c r="F14" s="550"/>
      <c r="G14" s="550"/>
      <c r="H14" s="550"/>
      <c r="I14" s="550"/>
      <c r="J14" s="550"/>
      <c r="K14" s="550"/>
      <c r="L14" s="550"/>
      <c r="M14" s="550"/>
      <c r="N14" s="550"/>
      <c r="O14" s="550"/>
    </row>
    <row r="15" spans="1:15" s="19" customFormat="1" x14ac:dyDescent="0.2">
      <c r="B15" s="554"/>
      <c r="C15" s="554"/>
      <c r="D15" s="554"/>
      <c r="E15" s="550"/>
      <c r="F15" s="550"/>
      <c r="G15" s="550"/>
      <c r="H15" s="550"/>
      <c r="I15" s="550"/>
      <c r="J15" s="550"/>
      <c r="K15" s="550"/>
      <c r="L15" s="550"/>
      <c r="M15" s="550"/>
      <c r="N15" s="550"/>
      <c r="O15" s="550"/>
    </row>
    <row r="16" spans="1:15" ht="24" x14ac:dyDescent="0.3">
      <c r="B16" s="538" t="s">
        <v>285</v>
      </c>
      <c r="C16" s="538"/>
      <c r="D16" s="538"/>
      <c r="E16" s="538"/>
      <c r="F16" s="538"/>
      <c r="G16" s="538"/>
      <c r="H16" s="538"/>
      <c r="I16" s="538"/>
      <c r="J16" s="538"/>
      <c r="K16" s="538"/>
      <c r="L16" s="538"/>
      <c r="M16" s="538"/>
      <c r="N16" s="538"/>
      <c r="O16" s="538"/>
    </row>
    <row r="18" spans="1:15" ht="21" x14ac:dyDescent="0.25">
      <c r="B18" s="551" t="s">
        <v>273</v>
      </c>
      <c r="C18" s="552"/>
      <c r="D18" s="553"/>
      <c r="E18" s="551" t="s">
        <v>274</v>
      </c>
      <c r="F18" s="552"/>
      <c r="G18" s="552"/>
      <c r="H18" s="552"/>
      <c r="I18" s="553"/>
      <c r="J18" s="551" t="s">
        <v>275</v>
      </c>
      <c r="K18" s="552"/>
      <c r="L18" s="553"/>
      <c r="M18" s="551" t="s">
        <v>276</v>
      </c>
      <c r="N18" s="552"/>
      <c r="O18" s="553"/>
    </row>
    <row r="19" spans="1:15" ht="114" customHeight="1" x14ac:dyDescent="0.2">
      <c r="B19" s="524" t="str">
        <f>+'Data Entry'!B69</f>
        <v>M1: Status of Conditions Precedent (CPs) and Time Bound Actions (TBAs)</v>
      </c>
      <c r="C19" s="535"/>
      <c r="D19" s="536"/>
      <c r="E19" s="527" t="s">
        <v>283</v>
      </c>
      <c r="F19" s="528"/>
      <c r="G19" s="528"/>
      <c r="H19" s="528"/>
      <c r="I19" s="529"/>
      <c r="J19" s="530" t="s">
        <v>351</v>
      </c>
      <c r="K19" s="531"/>
      <c r="L19" s="532"/>
      <c r="M19" s="530" t="s">
        <v>352</v>
      </c>
      <c r="N19" s="531"/>
      <c r="O19" s="532"/>
    </row>
    <row r="20" spans="1:15" ht="102.75" customHeight="1" x14ac:dyDescent="0.2">
      <c r="B20" s="524" t="str">
        <f>+'Data Entry'!B76</f>
        <v>M2: Status of key PR management positions</v>
      </c>
      <c r="C20" s="535"/>
      <c r="D20" s="536"/>
      <c r="E20" s="527" t="s">
        <v>397</v>
      </c>
      <c r="F20" s="528"/>
      <c r="G20" s="528"/>
      <c r="H20" s="528"/>
      <c r="I20" s="529"/>
      <c r="J20" s="530" t="s">
        <v>280</v>
      </c>
      <c r="K20" s="531"/>
      <c r="L20" s="532"/>
      <c r="M20" s="530" t="s">
        <v>279</v>
      </c>
      <c r="N20" s="531"/>
      <c r="O20" s="532"/>
    </row>
    <row r="21" spans="1:15" ht="111.75" customHeight="1" x14ac:dyDescent="0.2">
      <c r="B21" s="524" t="str">
        <f>+'Data Entry'!B81</f>
        <v xml:space="preserve">M3: Contractual arrangements (SRs) </v>
      </c>
      <c r="C21" s="535"/>
      <c r="D21" s="536"/>
      <c r="E21" s="605" t="s">
        <v>0</v>
      </c>
      <c r="F21" s="528"/>
      <c r="G21" s="528"/>
      <c r="H21" s="528"/>
      <c r="I21" s="529"/>
      <c r="J21" s="530" t="s">
        <v>353</v>
      </c>
      <c r="K21" s="531"/>
      <c r="L21" s="532"/>
      <c r="M21" s="530" t="s">
        <v>354</v>
      </c>
      <c r="N21" s="531"/>
      <c r="O21" s="532"/>
    </row>
    <row r="22" spans="1:15" ht="74.25" customHeight="1" x14ac:dyDescent="0.2">
      <c r="B22" s="524" t="str">
        <f>+'Data Entry'!B86</f>
        <v>M4: Number of complete reports received on time</v>
      </c>
      <c r="C22" s="535"/>
      <c r="D22" s="536"/>
      <c r="E22" s="605" t="s">
        <v>408</v>
      </c>
      <c r="F22" s="612"/>
      <c r="G22" s="612"/>
      <c r="H22" s="612"/>
      <c r="I22" s="613"/>
      <c r="J22" s="530" t="s">
        <v>359</v>
      </c>
      <c r="K22" s="531"/>
      <c r="L22" s="532"/>
      <c r="M22" s="530" t="s">
        <v>281</v>
      </c>
      <c r="N22" s="531"/>
      <c r="O22" s="532"/>
    </row>
    <row r="23" spans="1:15" ht="207.75" customHeight="1" x14ac:dyDescent="0.2">
      <c r="B23" s="606" t="str">
        <f>+'Data Entry'!B92</f>
        <v>M5: Budget and Procurement of health products, health equipment, medicines and pharmaceuticals</v>
      </c>
      <c r="C23" s="607"/>
      <c r="D23" s="608"/>
      <c r="E23" s="582" t="s">
        <v>360</v>
      </c>
      <c r="F23" s="583"/>
      <c r="G23" s="583"/>
      <c r="H23" s="583"/>
      <c r="I23" s="584"/>
      <c r="J23" s="576" t="s">
        <v>277</v>
      </c>
      <c r="K23" s="577"/>
      <c r="L23" s="578"/>
      <c r="M23" s="576" t="s">
        <v>282</v>
      </c>
      <c r="N23" s="577"/>
      <c r="O23" s="578"/>
    </row>
    <row r="24" spans="1:15" ht="114.75" customHeight="1" x14ac:dyDescent="0.2">
      <c r="B24" s="609"/>
      <c r="C24" s="610"/>
      <c r="D24" s="611"/>
      <c r="E24" s="585" t="s">
        <v>355</v>
      </c>
      <c r="F24" s="586"/>
      <c r="G24" s="586"/>
      <c r="H24" s="586"/>
      <c r="I24" s="587"/>
      <c r="J24" s="579"/>
      <c r="K24" s="580"/>
      <c r="L24" s="581"/>
      <c r="M24" s="579"/>
      <c r="N24" s="580"/>
      <c r="O24" s="581"/>
    </row>
    <row r="25" spans="1:15" ht="409.5" customHeight="1" x14ac:dyDescent="0.2">
      <c r="B25" s="524" t="str">
        <f>+'Data Entry'!B105</f>
        <v>M6: Difference between current and safety stock</v>
      </c>
      <c r="C25" s="535"/>
      <c r="D25" s="536"/>
      <c r="E25" s="593" t="s">
        <v>409</v>
      </c>
      <c r="F25" s="594"/>
      <c r="G25" s="594"/>
      <c r="H25" s="594"/>
      <c r="I25" s="595"/>
      <c r="J25" s="599" t="s">
        <v>361</v>
      </c>
      <c r="K25" s="600"/>
      <c r="L25" s="601"/>
      <c r="M25" s="596" t="s">
        <v>366</v>
      </c>
      <c r="N25" s="597"/>
      <c r="O25" s="598"/>
    </row>
    <row r="29" spans="1:15" ht="19" x14ac:dyDescent="0.25">
      <c r="B29" s="259"/>
    </row>
    <row r="30" spans="1:15" ht="24" x14ac:dyDescent="0.3">
      <c r="B30" s="538" t="s">
        <v>298</v>
      </c>
      <c r="C30" s="538"/>
      <c r="D30" s="538"/>
      <c r="E30" s="538"/>
      <c r="F30" s="538"/>
      <c r="G30" s="538"/>
      <c r="H30" s="538"/>
      <c r="I30" s="538"/>
      <c r="J30" s="538"/>
      <c r="K30" s="538"/>
      <c r="L30" s="538"/>
      <c r="M30" s="538"/>
      <c r="N30" s="538"/>
      <c r="O30" s="538"/>
    </row>
    <row r="32" spans="1:15" ht="28.5" customHeight="1" x14ac:dyDescent="0.2">
      <c r="A32" s="250"/>
      <c r="B32" s="558" t="s">
        <v>345</v>
      </c>
      <c r="C32" s="559"/>
      <c r="D32" s="560"/>
      <c r="E32" s="561" t="s">
        <v>447</v>
      </c>
      <c r="F32" s="562"/>
      <c r="G32" s="562"/>
      <c r="H32" s="562"/>
      <c r="I32" s="563"/>
      <c r="J32" s="561" t="s">
        <v>275</v>
      </c>
      <c r="K32" s="562"/>
      <c r="L32" s="563"/>
      <c r="M32" s="561" t="s">
        <v>276</v>
      </c>
      <c r="N32" s="562"/>
      <c r="O32" s="563"/>
    </row>
    <row r="33" spans="1:15" ht="148.5" customHeight="1" x14ac:dyDescent="0.2">
      <c r="A33" s="251"/>
      <c r="B33" s="602" t="s">
        <v>414</v>
      </c>
      <c r="C33" s="603"/>
      <c r="D33" s="604"/>
      <c r="E33" s="573" t="s">
        <v>438</v>
      </c>
      <c r="F33" s="588"/>
      <c r="G33" s="588"/>
      <c r="H33" s="588"/>
      <c r="I33" s="589"/>
      <c r="J33" s="573" t="s">
        <v>439</v>
      </c>
      <c r="K33" s="574"/>
      <c r="L33" s="575"/>
      <c r="M33" s="573" t="s">
        <v>440</v>
      </c>
      <c r="N33" s="574"/>
      <c r="O33" s="575"/>
    </row>
    <row r="34" spans="1:15" ht="63" customHeight="1" x14ac:dyDescent="0.2">
      <c r="A34" s="251"/>
      <c r="B34" s="602" t="s">
        <v>415</v>
      </c>
      <c r="C34" s="603"/>
      <c r="D34" s="604"/>
      <c r="E34" s="590" t="s">
        <v>441</v>
      </c>
      <c r="F34" s="591"/>
      <c r="G34" s="591"/>
      <c r="H34" s="591"/>
      <c r="I34" s="592"/>
      <c r="J34" s="573" t="s">
        <v>442</v>
      </c>
      <c r="K34" s="574"/>
      <c r="L34" s="575"/>
      <c r="M34" s="573" t="s">
        <v>440</v>
      </c>
      <c r="N34" s="574"/>
      <c r="O34" s="575"/>
    </row>
    <row r="35" spans="1:15" ht="57.75" customHeight="1" x14ac:dyDescent="0.2">
      <c r="A35" s="251"/>
      <c r="B35" s="602" t="s">
        <v>416</v>
      </c>
      <c r="C35" s="603"/>
      <c r="D35" s="604"/>
      <c r="E35" s="573" t="s">
        <v>443</v>
      </c>
      <c r="F35" s="574"/>
      <c r="G35" s="574"/>
      <c r="H35" s="574"/>
      <c r="I35" s="575"/>
      <c r="J35" s="573" t="s">
        <v>443</v>
      </c>
      <c r="K35" s="574"/>
      <c r="L35" s="575"/>
      <c r="M35" s="573" t="s">
        <v>446</v>
      </c>
      <c r="N35" s="574"/>
      <c r="O35" s="575"/>
    </row>
    <row r="36" spans="1:15" ht="9.75" customHeight="1" x14ac:dyDescent="0.2">
      <c r="A36" s="251"/>
      <c r="B36" s="614"/>
      <c r="C36" s="615"/>
      <c r="D36" s="616"/>
      <c r="E36" s="252"/>
      <c r="F36" s="253"/>
      <c r="G36" s="253"/>
      <c r="H36" s="253"/>
      <c r="I36" s="254"/>
      <c r="J36" s="272"/>
      <c r="K36" s="273"/>
      <c r="L36" s="274"/>
      <c r="M36" s="272"/>
      <c r="N36" s="273"/>
      <c r="O36" s="274"/>
    </row>
    <row r="37" spans="1:15" ht="46.5" customHeight="1" x14ac:dyDescent="0.2">
      <c r="A37" s="251"/>
      <c r="B37" s="602" t="s">
        <v>417</v>
      </c>
      <c r="C37" s="603"/>
      <c r="D37" s="604"/>
      <c r="E37" s="573" t="s">
        <v>444</v>
      </c>
      <c r="F37" s="588"/>
      <c r="G37" s="588"/>
      <c r="H37" s="588"/>
      <c r="I37" s="589"/>
      <c r="J37" s="573" t="s">
        <v>445</v>
      </c>
      <c r="K37" s="574"/>
      <c r="L37" s="575"/>
      <c r="M37" s="267" t="s">
        <v>446</v>
      </c>
      <c r="N37" s="268"/>
      <c r="O37" s="269"/>
    </row>
    <row r="38" spans="1:15" ht="69" customHeight="1" x14ac:dyDescent="0.2">
      <c r="A38" s="251"/>
      <c r="B38" s="602" t="s">
        <v>418</v>
      </c>
      <c r="C38" s="603"/>
      <c r="D38" s="604"/>
      <c r="E38" s="573" t="s">
        <v>448</v>
      </c>
      <c r="F38" s="588"/>
      <c r="G38" s="588"/>
      <c r="H38" s="588"/>
      <c r="I38" s="589"/>
      <c r="J38" s="573" t="s">
        <v>449</v>
      </c>
      <c r="K38" s="574"/>
      <c r="L38" s="575"/>
      <c r="M38" s="573" t="s">
        <v>440</v>
      </c>
      <c r="N38" s="574"/>
      <c r="O38" s="575"/>
    </row>
    <row r="39" spans="1:15" ht="75" customHeight="1" x14ac:dyDescent="0.2">
      <c r="A39" s="251"/>
      <c r="B39" s="602" t="s">
        <v>419</v>
      </c>
      <c r="C39" s="603"/>
      <c r="D39" s="604"/>
      <c r="E39" s="573" t="s">
        <v>450</v>
      </c>
      <c r="F39" s="574"/>
      <c r="G39" s="574"/>
      <c r="H39" s="574"/>
      <c r="I39" s="575"/>
      <c r="J39" s="573" t="s">
        <v>451</v>
      </c>
      <c r="K39" s="574"/>
      <c r="L39" s="575"/>
      <c r="M39" s="573" t="s">
        <v>440</v>
      </c>
      <c r="N39" s="574"/>
      <c r="O39" s="575"/>
    </row>
    <row r="40" spans="1:15" ht="81" customHeight="1" x14ac:dyDescent="0.2">
      <c r="A40" s="251"/>
      <c r="B40" s="623" t="s">
        <v>420</v>
      </c>
      <c r="C40" s="624"/>
      <c r="D40" s="625"/>
      <c r="E40" s="620" t="s">
        <v>452</v>
      </c>
      <c r="F40" s="621"/>
      <c r="G40" s="621"/>
      <c r="H40" s="621"/>
      <c r="I40" s="622"/>
      <c r="J40" s="573" t="s">
        <v>453</v>
      </c>
      <c r="K40" s="574"/>
      <c r="L40" s="575"/>
      <c r="M40" s="573" t="s">
        <v>440</v>
      </c>
      <c r="N40" s="574"/>
      <c r="O40" s="575"/>
    </row>
    <row r="41" spans="1:15" ht="62.25" customHeight="1" x14ac:dyDescent="0.2">
      <c r="A41" s="251"/>
      <c r="B41" s="617" t="s">
        <v>421</v>
      </c>
      <c r="C41" s="618"/>
      <c r="D41" s="619"/>
      <c r="E41" s="590" t="s">
        <v>437</v>
      </c>
      <c r="F41" s="591"/>
      <c r="G41" s="591"/>
      <c r="H41" s="591"/>
      <c r="I41" s="592"/>
      <c r="J41" s="573" t="s">
        <v>454</v>
      </c>
      <c r="K41" s="574"/>
      <c r="L41" s="575"/>
      <c r="M41" s="573" t="s">
        <v>440</v>
      </c>
      <c r="N41" s="574"/>
      <c r="O41" s="575"/>
    </row>
    <row r="42" spans="1:15" ht="84" customHeight="1" x14ac:dyDescent="0.2">
      <c r="A42" s="251"/>
      <c r="B42" s="617"/>
      <c r="C42" s="618"/>
      <c r="D42" s="619"/>
      <c r="E42" s="573"/>
      <c r="F42" s="574"/>
      <c r="G42" s="574"/>
      <c r="H42" s="574"/>
      <c r="I42" s="575"/>
      <c r="J42" s="267"/>
      <c r="K42" s="268"/>
      <c r="L42" s="269"/>
      <c r="M42" s="267"/>
      <c r="N42" s="268"/>
      <c r="O42" s="269"/>
    </row>
    <row r="43" spans="1:15" ht="45" customHeight="1" x14ac:dyDescent="0.2">
      <c r="A43" s="251"/>
      <c r="B43" s="617"/>
      <c r="C43" s="618"/>
      <c r="D43" s="619"/>
      <c r="E43" s="590"/>
      <c r="F43" s="591"/>
      <c r="G43" s="591"/>
      <c r="H43" s="591"/>
      <c r="I43" s="592"/>
      <c r="J43" s="573"/>
      <c r="K43" s="574"/>
      <c r="L43" s="575"/>
      <c r="M43" s="267"/>
      <c r="N43" s="268"/>
      <c r="O43" s="269"/>
    </row>
    <row r="44" spans="1:15" ht="64.5" customHeight="1" x14ac:dyDescent="0.2">
      <c r="A44" s="251"/>
      <c r="B44" s="623"/>
      <c r="C44" s="624"/>
      <c r="D44" s="625"/>
      <c r="E44" s="590"/>
      <c r="F44" s="591"/>
      <c r="G44" s="591"/>
      <c r="H44" s="591"/>
      <c r="I44" s="592"/>
      <c r="J44" s="573"/>
      <c r="K44" s="574"/>
      <c r="L44" s="575"/>
      <c r="M44" s="267"/>
      <c r="N44" s="268"/>
      <c r="O44" s="269"/>
    </row>
    <row r="45" spans="1:15" ht="49.5" customHeight="1" x14ac:dyDescent="0.2">
      <c r="B45" s="623"/>
      <c r="C45" s="624"/>
      <c r="D45" s="625"/>
      <c r="E45" s="590"/>
      <c r="F45" s="591"/>
      <c r="G45" s="591"/>
      <c r="H45" s="591"/>
      <c r="I45" s="592"/>
      <c r="J45" s="573"/>
      <c r="K45" s="574"/>
      <c r="L45" s="575"/>
      <c r="M45" s="267"/>
      <c r="N45" s="268"/>
      <c r="O45" s="269"/>
    </row>
    <row r="46" spans="1:15" ht="30" customHeight="1" x14ac:dyDescent="0.2">
      <c r="B46" s="626"/>
      <c r="C46" s="627"/>
      <c r="D46" s="628"/>
      <c r="E46" s="255"/>
      <c r="F46" s="256"/>
      <c r="G46" s="256"/>
      <c r="H46" s="256"/>
      <c r="I46" s="257"/>
      <c r="J46" s="267"/>
      <c r="K46" s="268"/>
      <c r="L46" s="269"/>
      <c r="M46" s="267"/>
      <c r="N46" s="268"/>
      <c r="O46" s="269"/>
    </row>
    <row r="47" spans="1:15" ht="44.25" customHeight="1" x14ac:dyDescent="0.2">
      <c r="B47" s="567" t="s">
        <v>299</v>
      </c>
      <c r="C47" s="568"/>
      <c r="D47" s="569"/>
      <c r="E47" s="570" t="s">
        <v>274</v>
      </c>
      <c r="F47" s="571"/>
      <c r="G47" s="571"/>
      <c r="H47" s="571"/>
      <c r="I47" s="572"/>
      <c r="J47" s="570" t="s">
        <v>275</v>
      </c>
      <c r="K47" s="571"/>
      <c r="L47" s="572"/>
      <c r="M47" s="570" t="s">
        <v>276</v>
      </c>
      <c r="N47" s="571"/>
      <c r="O47" s="572"/>
    </row>
    <row r="48" spans="1:15" ht="33.75" customHeight="1" x14ac:dyDescent="0.2">
      <c r="B48" s="246"/>
      <c r="C48" s="247"/>
      <c r="D48" s="247"/>
      <c r="E48" s="240"/>
      <c r="F48" s="242"/>
      <c r="G48" s="242"/>
      <c r="H48" s="242"/>
      <c r="I48" s="242"/>
      <c r="J48" s="240"/>
      <c r="K48" s="240"/>
      <c r="L48" s="241"/>
      <c r="M48" s="239"/>
      <c r="N48" s="240"/>
      <c r="O48" s="241"/>
    </row>
    <row r="49" spans="2:15" ht="15.75" customHeight="1" x14ac:dyDescent="0.2">
      <c r="B49" s="564" t="s">
        <v>296</v>
      </c>
      <c r="C49" s="565"/>
      <c r="D49" s="565"/>
      <c r="E49" s="565"/>
      <c r="F49" s="565"/>
      <c r="G49" s="565"/>
      <c r="H49" s="565"/>
      <c r="I49" s="565"/>
      <c r="J49" s="565"/>
      <c r="K49" s="565"/>
      <c r="L49" s="566"/>
      <c r="M49" s="555" t="s">
        <v>286</v>
      </c>
      <c r="N49" s="556"/>
      <c r="O49" s="557"/>
    </row>
    <row r="50" spans="2:15" x14ac:dyDescent="0.2">
      <c r="D50" s="226"/>
    </row>
    <row r="52" spans="2:15" x14ac:dyDescent="0.2">
      <c r="D52" s="226"/>
    </row>
    <row r="53" spans="2:15" x14ac:dyDescent="0.2">
      <c r="D53" s="226"/>
    </row>
  </sheetData>
  <mergeCells count="123">
    <mergeCell ref="J43:L43"/>
    <mergeCell ref="J44:L44"/>
    <mergeCell ref="J45:L45"/>
    <mergeCell ref="E44:I44"/>
    <mergeCell ref="B44:D44"/>
    <mergeCell ref="B45:D45"/>
    <mergeCell ref="E45:I45"/>
    <mergeCell ref="B43:D43"/>
    <mergeCell ref="M20:O20"/>
    <mergeCell ref="J21:L21"/>
    <mergeCell ref="M21:O21"/>
    <mergeCell ref="M22:O22"/>
    <mergeCell ref="B39:D39"/>
    <mergeCell ref="M38:O38"/>
    <mergeCell ref="E39:I39"/>
    <mergeCell ref="B37:D37"/>
    <mergeCell ref="J39:L39"/>
    <mergeCell ref="M39:O39"/>
    <mergeCell ref="B35:D35"/>
    <mergeCell ref="J35:L35"/>
    <mergeCell ref="B38:D38"/>
    <mergeCell ref="E38:I38"/>
    <mergeCell ref="J38:L38"/>
    <mergeCell ref="B36:D36"/>
    <mergeCell ref="E37:I37"/>
    <mergeCell ref="E35:I35"/>
    <mergeCell ref="J37:L37"/>
    <mergeCell ref="B25:D25"/>
    <mergeCell ref="B33:D33"/>
    <mergeCell ref="B34:D34"/>
    <mergeCell ref="J33:L33"/>
    <mergeCell ref="J34:L34"/>
    <mergeCell ref="B20:D20"/>
    <mergeCell ref="E20:I20"/>
    <mergeCell ref="B21:D21"/>
    <mergeCell ref="E21:I21"/>
    <mergeCell ref="B22:D22"/>
    <mergeCell ref="B23:D24"/>
    <mergeCell ref="E22:I22"/>
    <mergeCell ref="J22:L22"/>
    <mergeCell ref="J20:L20"/>
    <mergeCell ref="M23:O24"/>
    <mergeCell ref="E23:I23"/>
    <mergeCell ref="E24:I24"/>
    <mergeCell ref="E33:I33"/>
    <mergeCell ref="E34:I34"/>
    <mergeCell ref="E25:I25"/>
    <mergeCell ref="M25:O25"/>
    <mergeCell ref="J25:L25"/>
    <mergeCell ref="J23:L24"/>
    <mergeCell ref="M33:O33"/>
    <mergeCell ref="M34:O34"/>
    <mergeCell ref="M49:O49"/>
    <mergeCell ref="B30:O30"/>
    <mergeCell ref="B32:D32"/>
    <mergeCell ref="E32:I32"/>
    <mergeCell ref="J32:L32"/>
    <mergeCell ref="M32:O32"/>
    <mergeCell ref="B49:L49"/>
    <mergeCell ref="B47:D47"/>
    <mergeCell ref="E47:I47"/>
    <mergeCell ref="J47:L47"/>
    <mergeCell ref="M47:O47"/>
    <mergeCell ref="J41:L41"/>
    <mergeCell ref="M41:O41"/>
    <mergeCell ref="M35:O35"/>
    <mergeCell ref="E42:I42"/>
    <mergeCell ref="E43:I43"/>
    <mergeCell ref="B42:D42"/>
    <mergeCell ref="E40:I40"/>
    <mergeCell ref="B41:D41"/>
    <mergeCell ref="B40:D40"/>
    <mergeCell ref="E41:I41"/>
    <mergeCell ref="J40:L40"/>
    <mergeCell ref="M40:O40"/>
    <mergeCell ref="B46:D46"/>
    <mergeCell ref="J19:L19"/>
    <mergeCell ref="E18:I18"/>
    <mergeCell ref="J18:L18"/>
    <mergeCell ref="B18:D18"/>
    <mergeCell ref="B15:D15"/>
    <mergeCell ref="B13:D13"/>
    <mergeCell ref="B16:O16"/>
    <mergeCell ref="J15:L15"/>
    <mergeCell ref="E13:I13"/>
    <mergeCell ref="J13:L13"/>
    <mergeCell ref="M14:O14"/>
    <mergeCell ref="B14:D14"/>
    <mergeCell ref="E14:I14"/>
    <mergeCell ref="B19:D19"/>
    <mergeCell ref="B2:M2"/>
    <mergeCell ref="B5:O5"/>
    <mergeCell ref="M8:O8"/>
    <mergeCell ref="J8:L8"/>
    <mergeCell ref="E7:I7"/>
    <mergeCell ref="B7:D7"/>
    <mergeCell ref="E8:I8"/>
    <mergeCell ref="B11:D11"/>
    <mergeCell ref="B10:D10"/>
    <mergeCell ref="E10:I10"/>
    <mergeCell ref="J10:L10"/>
    <mergeCell ref="J7:L7"/>
    <mergeCell ref="M7:O7"/>
    <mergeCell ref="M10:O10"/>
    <mergeCell ref="B8:D8"/>
    <mergeCell ref="M9:O9"/>
    <mergeCell ref="M19:O19"/>
    <mergeCell ref="M15:O15"/>
    <mergeCell ref="M13:O13"/>
    <mergeCell ref="M18:O18"/>
    <mergeCell ref="J14:L14"/>
    <mergeCell ref="E15:I15"/>
    <mergeCell ref="E19:I19"/>
    <mergeCell ref="B9:D9"/>
    <mergeCell ref="E9:I9"/>
    <mergeCell ref="J9:L9"/>
    <mergeCell ref="E11:I11"/>
    <mergeCell ref="B12:D12"/>
    <mergeCell ref="J11:L11"/>
    <mergeCell ref="M11:O11"/>
    <mergeCell ref="J12:L12"/>
    <mergeCell ref="M12:O12"/>
    <mergeCell ref="E12:I12"/>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&amp;L&amp;F&amp;C&amp;A&amp;RV1.0          &amp;D</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rgb="FFFFC000"/>
  </sheetPr>
  <dimension ref="A1:AJ152"/>
  <sheetViews>
    <sheetView showGridLines="0" tabSelected="1" topLeftCell="B33" workbookViewId="0">
      <selection activeCell="F54" sqref="F54"/>
    </sheetView>
  </sheetViews>
  <sheetFormatPr baseColWidth="10" defaultColWidth="11" defaultRowHeight="15" x14ac:dyDescent="0.2"/>
  <cols>
    <col min="1" max="1" width="2.6640625" customWidth="1"/>
    <col min="2" max="2" width="46.1640625" customWidth="1"/>
    <col min="3" max="3" width="23" customWidth="1"/>
    <col min="4" max="4" width="19.1640625" customWidth="1"/>
    <col min="5" max="5" width="16.5" customWidth="1"/>
    <col min="6" max="6" width="17.5" customWidth="1"/>
    <col min="7" max="7" width="16.5" customWidth="1"/>
    <col min="8" max="8" width="17.5" customWidth="1"/>
    <col min="9" max="9" width="16.33203125" customWidth="1"/>
    <col min="10" max="10" width="16.83203125" customWidth="1"/>
    <col min="11" max="11" width="16" customWidth="1"/>
    <col min="12" max="12" width="15.33203125" customWidth="1"/>
    <col min="13" max="13" width="15.5" customWidth="1"/>
    <col min="14" max="14" width="14.33203125" style="36" customWidth="1"/>
    <col min="15" max="15" width="15.5" style="36" customWidth="1"/>
    <col min="16" max="16" width="19.5" customWidth="1"/>
    <col min="17" max="17" width="16.1640625" customWidth="1"/>
    <col min="18" max="18" width="13.6640625" customWidth="1"/>
    <col min="19" max="19" width="13.5" customWidth="1"/>
    <col min="20" max="20" width="14.83203125" customWidth="1"/>
    <col min="21" max="21" width="16" customWidth="1"/>
    <col min="22" max="22" width="11.5" hidden="1" customWidth="1"/>
    <col min="23" max="23" width="15.5" customWidth="1"/>
    <col min="24" max="24" width="11.5" customWidth="1"/>
    <col min="25" max="25" width="2.33203125" customWidth="1"/>
    <col min="26" max="26" width="1.1640625" customWidth="1"/>
    <col min="27" max="27" width="3.33203125" customWidth="1"/>
    <col min="28" max="28" width="17" customWidth="1"/>
    <col min="29" max="29" width="15" customWidth="1"/>
    <col min="30" max="30" width="11.5" customWidth="1"/>
    <col min="31" max="31" width="13.5" customWidth="1"/>
    <col min="32" max="32" width="16.83203125" customWidth="1"/>
    <col min="33" max="33" width="11.5" customWidth="1"/>
    <col min="34" max="34" width="2" style="36" customWidth="1"/>
    <col min="35" max="35" width="3.33203125" style="36" customWidth="1"/>
    <col min="36" max="36" width="2.33203125" style="36" customWidth="1"/>
    <col min="37" max="37" width="40.6640625" customWidth="1"/>
    <col min="38" max="38" width="15.5" customWidth="1"/>
  </cols>
  <sheetData>
    <row r="1" spans="1:13" ht="29.25" customHeight="1" x14ac:dyDescent="0.2">
      <c r="A1" s="3"/>
      <c r="B1" s="3"/>
      <c r="C1" s="3"/>
      <c r="D1" s="3"/>
      <c r="E1" s="3"/>
      <c r="F1" s="3"/>
      <c r="G1" s="3"/>
      <c r="H1" s="3"/>
      <c r="I1" s="3"/>
      <c r="J1" s="3"/>
      <c r="K1" s="3"/>
      <c r="L1" s="3"/>
      <c r="M1" s="3"/>
    </row>
    <row r="2" spans="1:13" ht="15.75" customHeight="1" x14ac:dyDescent="0.2">
      <c r="A2" s="3"/>
      <c r="B2" s="686" t="s">
        <v>374</v>
      </c>
      <c r="C2" s="686"/>
      <c r="D2" s="686"/>
      <c r="E2" s="686"/>
      <c r="F2" s="686"/>
      <c r="G2" s="686"/>
      <c r="H2" s="686"/>
      <c r="I2" s="686"/>
      <c r="J2" s="686"/>
      <c r="K2" s="289"/>
      <c r="L2" s="289"/>
      <c r="M2" s="289"/>
    </row>
    <row r="3" spans="1:13" ht="4.5" customHeight="1" x14ac:dyDescent="0.2">
      <c r="A3" s="3"/>
      <c r="B3" s="3"/>
      <c r="C3" s="3"/>
      <c r="D3" s="3"/>
      <c r="E3" s="3"/>
      <c r="F3" s="3"/>
      <c r="G3" s="3"/>
      <c r="H3" s="3"/>
      <c r="I3" s="3"/>
      <c r="J3" s="3"/>
      <c r="K3" s="3"/>
      <c r="L3" s="3"/>
      <c r="M3" s="3"/>
    </row>
    <row r="4" spans="1:13" x14ac:dyDescent="0.2">
      <c r="A4" s="3"/>
      <c r="B4" s="287" t="s">
        <v>26</v>
      </c>
      <c r="C4" s="690" t="s">
        <v>178</v>
      </c>
      <c r="D4" s="692"/>
      <c r="E4" s="698" t="s">
        <v>12</v>
      </c>
      <c r="F4" s="698"/>
      <c r="G4" s="699" t="s">
        <v>481</v>
      </c>
      <c r="H4" s="700"/>
      <c r="I4" s="700"/>
      <c r="J4" s="701"/>
      <c r="K4" s="3"/>
      <c r="L4" s="3"/>
      <c r="M4" s="3"/>
    </row>
    <row r="5" spans="1:13" ht="3" customHeight="1" x14ac:dyDescent="0.2">
      <c r="A5" s="3"/>
      <c r="B5" s="287"/>
      <c r="C5" s="3"/>
      <c r="D5" s="3"/>
      <c r="E5" s="290"/>
      <c r="F5" s="290"/>
      <c r="G5" s="3"/>
      <c r="H5" s="3"/>
      <c r="I5" s="3"/>
      <c r="J5" s="3"/>
      <c r="K5" s="3"/>
      <c r="L5" s="3"/>
      <c r="M5" s="3"/>
    </row>
    <row r="6" spans="1:13" x14ac:dyDescent="0.2">
      <c r="A6" s="3"/>
      <c r="B6" s="287" t="s">
        <v>117</v>
      </c>
      <c r="C6" s="690" t="s">
        <v>455</v>
      </c>
      <c r="D6" s="692"/>
      <c r="E6" s="698" t="s">
        <v>27</v>
      </c>
      <c r="F6" s="698"/>
      <c r="G6" s="321" t="s">
        <v>34</v>
      </c>
      <c r="H6" s="287" t="s">
        <v>321</v>
      </c>
      <c r="I6" s="687">
        <v>118095102</v>
      </c>
      <c r="J6" s="688"/>
      <c r="K6" s="3"/>
      <c r="L6" s="3"/>
      <c r="M6" s="3"/>
    </row>
    <row r="7" spans="1:13" ht="3" customHeight="1" x14ac:dyDescent="0.2">
      <c r="A7" s="3"/>
      <c r="B7" s="287"/>
      <c r="C7" s="3"/>
      <c r="D7" s="3"/>
      <c r="E7" s="290"/>
      <c r="F7" s="290"/>
      <c r="G7" s="3"/>
      <c r="H7" s="287"/>
      <c r="I7" s="3"/>
      <c r="J7" s="3"/>
      <c r="K7" s="3"/>
      <c r="L7" s="3"/>
      <c r="M7" s="3"/>
    </row>
    <row r="8" spans="1:13" x14ac:dyDescent="0.2">
      <c r="A8" s="3"/>
      <c r="B8" s="287" t="s">
        <v>269</v>
      </c>
      <c r="C8" s="690" t="s">
        <v>435</v>
      </c>
      <c r="D8" s="692"/>
      <c r="E8" s="291"/>
      <c r="F8" s="286" t="s">
        <v>323</v>
      </c>
      <c r="G8" s="415" t="s">
        <v>373</v>
      </c>
      <c r="H8" s="286" t="s">
        <v>322</v>
      </c>
      <c r="I8" s="690" t="s">
        <v>373</v>
      </c>
      <c r="J8" s="692"/>
      <c r="K8" s="3"/>
      <c r="L8" s="3"/>
      <c r="M8" s="3"/>
    </row>
    <row r="9" spans="1:13" ht="3" customHeight="1" x14ac:dyDescent="0.2">
      <c r="A9" s="3"/>
      <c r="B9" s="290"/>
      <c r="C9" s="3"/>
      <c r="D9" s="3"/>
      <c r="E9" s="290"/>
      <c r="F9" s="290"/>
      <c r="G9" s="3"/>
      <c r="H9" s="3"/>
      <c r="I9" s="3"/>
      <c r="J9" s="3"/>
      <c r="K9" s="3"/>
      <c r="L9" s="3"/>
      <c r="M9" s="3"/>
    </row>
    <row r="10" spans="1:13" x14ac:dyDescent="0.2">
      <c r="A10" s="3"/>
      <c r="B10" s="287" t="s">
        <v>403</v>
      </c>
      <c r="C10" s="696">
        <v>42064</v>
      </c>
      <c r="D10" s="697"/>
      <c r="E10" s="695" t="s">
        <v>31</v>
      </c>
      <c r="F10" s="694"/>
      <c r="G10" s="690" t="s">
        <v>57</v>
      </c>
      <c r="H10" s="691"/>
      <c r="I10" s="691"/>
      <c r="J10" s="692"/>
      <c r="K10" s="3"/>
      <c r="L10" s="3"/>
      <c r="M10" s="3"/>
    </row>
    <row r="11" spans="1:13" ht="5.25" customHeight="1" x14ac:dyDescent="0.2">
      <c r="A11" s="3"/>
      <c r="B11" s="3"/>
      <c r="C11" s="3"/>
      <c r="D11" s="3"/>
      <c r="E11" s="3"/>
      <c r="F11" s="3"/>
      <c r="G11" s="3"/>
      <c r="H11" s="3"/>
      <c r="I11" s="3"/>
      <c r="J11" s="3"/>
      <c r="K11" s="3"/>
      <c r="L11" s="3"/>
      <c r="M11" s="3"/>
    </row>
    <row r="12" spans="1:13" ht="15" customHeight="1" x14ac:dyDescent="0.2">
      <c r="A12" s="3"/>
      <c r="B12" s="287" t="s">
        <v>29</v>
      </c>
      <c r="C12" s="666" t="s">
        <v>46</v>
      </c>
      <c r="D12" s="666"/>
      <c r="E12" s="695" t="s">
        <v>290</v>
      </c>
      <c r="F12" s="698"/>
      <c r="G12" s="689" t="s">
        <v>436</v>
      </c>
      <c r="H12" s="689"/>
      <c r="I12" s="689"/>
      <c r="J12" s="689"/>
      <c r="K12" s="3"/>
      <c r="L12" s="3"/>
      <c r="M12" s="3"/>
    </row>
    <row r="13" spans="1:13" ht="5.25" customHeight="1" x14ac:dyDescent="0.2">
      <c r="A13" s="3"/>
      <c r="B13" s="3"/>
      <c r="C13" s="3"/>
      <c r="D13" s="3"/>
      <c r="E13" s="3"/>
      <c r="F13" s="3"/>
      <c r="G13" s="3"/>
      <c r="H13" s="3"/>
      <c r="I13" s="3"/>
      <c r="J13" s="3"/>
      <c r="K13" s="3"/>
      <c r="L13" s="3"/>
      <c r="M13" s="3"/>
    </row>
    <row r="14" spans="1:13" ht="15.75" customHeight="1" x14ac:dyDescent="0.2">
      <c r="A14" s="3"/>
      <c r="B14" s="686" t="s">
        <v>2</v>
      </c>
      <c r="C14" s="686"/>
      <c r="D14" s="686"/>
      <c r="E14" s="686"/>
      <c r="F14" s="686"/>
      <c r="G14" s="686"/>
      <c r="H14" s="686"/>
      <c r="I14" s="686"/>
      <c r="J14" s="686"/>
      <c r="K14" s="3"/>
      <c r="L14" s="3"/>
      <c r="M14" s="3"/>
    </row>
    <row r="15" spans="1:13" ht="3" customHeight="1" x14ac:dyDescent="0.2">
      <c r="A15" s="3"/>
      <c r="B15" s="3"/>
      <c r="C15" s="3"/>
      <c r="D15" s="3"/>
      <c r="E15" s="3"/>
      <c r="F15" s="3"/>
      <c r="G15" s="3"/>
      <c r="H15" s="3"/>
      <c r="I15" s="3"/>
      <c r="J15" s="3"/>
      <c r="K15" s="3"/>
      <c r="L15" s="3"/>
      <c r="M15" s="3"/>
    </row>
    <row r="16" spans="1:13" x14ac:dyDescent="0.2">
      <c r="A16" s="3"/>
      <c r="B16" s="287" t="s">
        <v>21</v>
      </c>
      <c r="C16" s="415" t="s">
        <v>123</v>
      </c>
      <c r="D16" s="286" t="s">
        <v>324</v>
      </c>
      <c r="E16" s="292" t="s">
        <v>472</v>
      </c>
      <c r="F16" s="288" t="s">
        <v>8</v>
      </c>
      <c r="G16" s="292" t="s">
        <v>473</v>
      </c>
      <c r="H16" s="695" t="s">
        <v>325</v>
      </c>
      <c r="I16" s="694"/>
      <c r="J16" s="292">
        <v>42689</v>
      </c>
      <c r="K16" s="3"/>
      <c r="L16" s="3"/>
      <c r="M16" s="3"/>
    </row>
    <row r="17" spans="1:35" ht="3" customHeight="1" x14ac:dyDescent="0.2">
      <c r="A17" s="3"/>
      <c r="B17" s="3"/>
      <c r="C17" s="3"/>
      <c r="D17" s="3"/>
      <c r="E17" s="3"/>
      <c r="F17" s="3"/>
      <c r="G17" s="3"/>
      <c r="H17" s="3"/>
      <c r="I17" s="3"/>
      <c r="J17" s="3"/>
      <c r="K17" s="3"/>
      <c r="L17" s="3"/>
      <c r="M17" s="3"/>
    </row>
    <row r="18" spans="1:35" x14ac:dyDescent="0.2">
      <c r="A18" s="3"/>
      <c r="B18" s="693" t="s">
        <v>32</v>
      </c>
      <c r="C18" s="694"/>
      <c r="D18" s="667" t="s">
        <v>465</v>
      </c>
      <c r="E18" s="667"/>
      <c r="F18" s="667"/>
      <c r="G18" s="293"/>
      <c r="H18" s="293"/>
      <c r="I18" s="293"/>
      <c r="J18" s="293"/>
      <c r="K18" s="3"/>
      <c r="L18" s="3"/>
      <c r="M18" s="3"/>
    </row>
    <row r="19" spans="1:35" ht="3" customHeight="1" x14ac:dyDescent="0.2">
      <c r="A19" s="3"/>
      <c r="B19" s="3"/>
      <c r="C19" s="3"/>
      <c r="D19" s="3"/>
      <c r="E19" s="3"/>
      <c r="F19" s="3"/>
      <c r="G19" s="3"/>
      <c r="H19" s="3"/>
      <c r="I19" s="3"/>
      <c r="J19" s="3"/>
      <c r="K19" s="3"/>
      <c r="L19" s="3"/>
      <c r="M19" s="3"/>
    </row>
    <row r="20" spans="1:35" ht="5.25" customHeight="1" x14ac:dyDescent="0.2">
      <c r="A20" s="3"/>
      <c r="B20" s="3"/>
      <c r="C20" s="3"/>
      <c r="D20" s="3"/>
      <c r="E20" s="3"/>
      <c r="F20" s="3"/>
      <c r="G20" s="3"/>
      <c r="H20" s="3"/>
      <c r="I20" s="3"/>
      <c r="J20" s="3"/>
      <c r="K20" s="3"/>
      <c r="L20" s="3"/>
      <c r="M20" s="3"/>
    </row>
    <row r="21" spans="1:35" ht="15.75" customHeight="1" x14ac:dyDescent="0.2">
      <c r="A21" s="3"/>
      <c r="B21" s="686" t="s">
        <v>362</v>
      </c>
      <c r="C21" s="686"/>
      <c r="D21" s="686"/>
      <c r="E21" s="686"/>
      <c r="F21" s="686"/>
      <c r="G21" s="686"/>
      <c r="H21" s="686"/>
      <c r="I21" s="686"/>
      <c r="J21" s="686"/>
      <c r="K21" s="3"/>
      <c r="L21" s="3"/>
      <c r="M21" s="3"/>
    </row>
    <row r="22" spans="1:35" x14ac:dyDescent="0.2">
      <c r="A22" s="3"/>
      <c r="B22" s="290" t="s">
        <v>3</v>
      </c>
      <c r="C22" s="3"/>
      <c r="D22" s="3"/>
      <c r="E22" s="294"/>
      <c r="F22" s="294"/>
      <c r="G22" s="3"/>
      <c r="H22" s="3"/>
      <c r="I22" s="294"/>
      <c r="J22" s="294"/>
      <c r="K22" s="3"/>
      <c r="L22" s="3"/>
      <c r="M22" s="3"/>
    </row>
    <row r="23" spans="1:35" ht="3" customHeight="1" x14ac:dyDescent="0.2">
      <c r="A23" s="3"/>
      <c r="B23" s="3"/>
      <c r="C23" s="3"/>
      <c r="D23" s="3"/>
      <c r="E23" s="3"/>
      <c r="F23" s="3"/>
      <c r="G23" s="3"/>
      <c r="H23" s="3"/>
      <c r="I23" s="3"/>
      <c r="J23" s="3"/>
      <c r="K23" s="3"/>
      <c r="L23" s="3"/>
      <c r="M23" s="3"/>
    </row>
    <row r="24" spans="1:35" ht="16" thickBot="1" x14ac:dyDescent="0.25">
      <c r="A24" s="3"/>
      <c r="B24" s="287" t="s">
        <v>399</v>
      </c>
      <c r="C24" s="401"/>
      <c r="D24" s="698" t="s">
        <v>400</v>
      </c>
      <c r="E24" s="698"/>
      <c r="F24" s="402"/>
      <c r="G24" s="698" t="s">
        <v>401</v>
      </c>
      <c r="H24" s="698"/>
      <c r="I24" s="722"/>
      <c r="J24" s="723"/>
      <c r="K24" s="3"/>
      <c r="L24" s="3"/>
      <c r="M24" s="3"/>
      <c r="N24" s="20"/>
    </row>
    <row r="25" spans="1:35" ht="20" thickBot="1" x14ac:dyDescent="0.3">
      <c r="A25" s="3"/>
      <c r="B25" s="87" t="s">
        <v>399</v>
      </c>
      <c r="C25" s="88"/>
      <c r="D25" s="88"/>
      <c r="E25" s="88"/>
      <c r="F25" s="88"/>
      <c r="G25" s="88"/>
      <c r="H25" s="275"/>
      <c r="I25" s="89"/>
      <c r="J25" s="89"/>
      <c r="K25" s="275" t="s">
        <v>326</v>
      </c>
      <c r="L25" s="88"/>
      <c r="M25" s="88"/>
      <c r="N25" s="423"/>
      <c r="O25" s="40"/>
      <c r="AI25" s="44"/>
    </row>
    <row r="26" spans="1:35" x14ac:dyDescent="0.2">
      <c r="A26" s="3"/>
      <c r="B26" s="670" t="s">
        <v>370</v>
      </c>
      <c r="C26" s="671"/>
      <c r="D26" s="437" t="s">
        <v>19</v>
      </c>
      <c r="E26" s="91"/>
      <c r="F26" s="91"/>
      <c r="G26" s="91"/>
      <c r="H26" s="91"/>
      <c r="I26" s="91"/>
      <c r="J26" s="92"/>
      <c r="K26" s="91"/>
      <c r="L26" s="91"/>
      <c r="M26" s="91"/>
      <c r="N26" s="40"/>
      <c r="O26" s="40"/>
      <c r="AI26" s="44"/>
    </row>
    <row r="27" spans="1:35" ht="19" x14ac:dyDescent="0.25">
      <c r="A27" s="3"/>
      <c r="B27" s="90" t="s">
        <v>380</v>
      </c>
      <c r="C27" s="91"/>
      <c r="D27" s="91"/>
      <c r="E27" s="91"/>
      <c r="F27" s="91"/>
      <c r="G27" s="91"/>
      <c r="H27" s="91"/>
      <c r="I27" s="91"/>
      <c r="J27" s="92"/>
      <c r="K27" s="91"/>
      <c r="L27" s="91"/>
      <c r="M27" s="91"/>
      <c r="N27" s="40"/>
      <c r="O27" s="40"/>
      <c r="AI27" s="44"/>
    </row>
    <row r="28" spans="1:35" ht="16" thickBot="1" x14ac:dyDescent="0.25">
      <c r="A28" s="3"/>
      <c r="B28" s="3"/>
      <c r="C28" s="3"/>
      <c r="D28" s="3"/>
      <c r="E28" s="3"/>
      <c r="F28" s="3"/>
      <c r="G28" s="3"/>
      <c r="H28" s="3"/>
      <c r="I28" s="3"/>
      <c r="J28" s="3"/>
      <c r="K28" s="3"/>
      <c r="L28" s="3"/>
      <c r="M28" s="3"/>
    </row>
    <row r="29" spans="1:35" ht="16" thickBot="1" x14ac:dyDescent="0.25">
      <c r="A29" s="3"/>
      <c r="B29" s="705" t="s">
        <v>60</v>
      </c>
      <c r="C29" s="706"/>
      <c r="D29" s="706"/>
      <c r="E29" s="706"/>
      <c r="F29" s="706"/>
      <c r="G29" s="706"/>
      <c r="H29" s="706"/>
      <c r="I29" s="706"/>
      <c r="J29" s="706"/>
      <c r="K29" s="706"/>
      <c r="L29" s="706"/>
      <c r="M29" s="706"/>
      <c r="N29" s="707"/>
      <c r="P29" s="211"/>
      <c r="Q29" s="212"/>
      <c r="R29" s="213">
        <f>+C33</f>
        <v>2320893.8574999999</v>
      </c>
      <c r="S29" s="211"/>
    </row>
    <row r="30" spans="1:35" x14ac:dyDescent="0.2">
      <c r="A30" s="3"/>
      <c r="B30" s="93" t="s">
        <v>268</v>
      </c>
      <c r="C30" s="379" t="s">
        <v>106</v>
      </c>
      <c r="D30" s="379" t="s">
        <v>107</v>
      </c>
      <c r="E30" s="379" t="s">
        <v>108</v>
      </c>
      <c r="F30" s="379" t="s">
        <v>109</v>
      </c>
      <c r="G30" s="379" t="s">
        <v>121</v>
      </c>
      <c r="H30" s="379" t="s">
        <v>122</v>
      </c>
      <c r="I30" s="379" t="s">
        <v>123</v>
      </c>
      <c r="J30" s="379" t="s">
        <v>124</v>
      </c>
      <c r="K30" s="379" t="s">
        <v>125</v>
      </c>
      <c r="L30" s="379" t="s">
        <v>126</v>
      </c>
      <c r="M30" s="379" t="s">
        <v>127</v>
      </c>
      <c r="N30" s="380" t="s">
        <v>288</v>
      </c>
      <c r="O30" s="381" t="s">
        <v>4</v>
      </c>
      <c r="P30" s="211"/>
      <c r="Q30" s="212"/>
      <c r="R30" s="213">
        <f>+D33</f>
        <v>12446968.501060568</v>
      </c>
      <c r="S30" s="211"/>
    </row>
    <row r="31" spans="1:35" x14ac:dyDescent="0.2">
      <c r="A31" s="3"/>
      <c r="B31" s="283" t="str">
        <f>CONCATENATE("Budget (in ",'Data Entry'!$D$26,")")</f>
        <v>Budget (in $)</v>
      </c>
      <c r="C31" s="391">
        <v>2320893.8574999999</v>
      </c>
      <c r="D31" s="391">
        <v>10126074.643560568</v>
      </c>
      <c r="E31" s="390">
        <v>9803852.5185605697</v>
      </c>
      <c r="F31" s="390">
        <v>9379167.5185605697</v>
      </c>
      <c r="G31" s="390">
        <v>18262700.537510611</v>
      </c>
      <c r="H31" s="390">
        <v>9705665.363510713</v>
      </c>
      <c r="I31" s="390">
        <v>8897793.014834119</v>
      </c>
      <c r="J31" s="390"/>
      <c r="K31" s="390"/>
      <c r="L31" s="390"/>
      <c r="M31" s="390"/>
      <c r="N31" s="390"/>
      <c r="O31" s="629">
        <f>+SUM(C35:N35)</f>
        <v>0.83302669129367146</v>
      </c>
      <c r="P31" s="211"/>
      <c r="Q31" s="212"/>
      <c r="R31" s="213">
        <f>+E33</f>
        <v>22250821.019621138</v>
      </c>
      <c r="S31" s="211"/>
    </row>
    <row r="32" spans="1:35" x14ac:dyDescent="0.2">
      <c r="A32" s="3"/>
      <c r="B32" s="93" t="str">
        <f>CONCATENATE("Disbursements by GF (in ", $D$26,")")</f>
        <v>Disbursements by GF (in $)</v>
      </c>
      <c r="C32" s="391">
        <v>0</v>
      </c>
      <c r="D32" s="391">
        <v>13715970</v>
      </c>
      <c r="E32" s="391">
        <v>0</v>
      </c>
      <c r="F32" s="391">
        <v>24269538.220000003</v>
      </c>
      <c r="G32" s="391">
        <v>6193448.8799999999</v>
      </c>
      <c r="H32" s="391">
        <v>8393007.1899999995</v>
      </c>
      <c r="I32" s="390">
        <v>4487154.79</v>
      </c>
      <c r="J32" s="390"/>
      <c r="K32" s="390"/>
      <c r="L32" s="390"/>
      <c r="M32" s="390"/>
      <c r="N32" s="390"/>
      <c r="O32" s="630"/>
      <c r="P32" s="211"/>
      <c r="Q32" s="212"/>
      <c r="R32" s="213">
        <f>+F33</f>
        <v>31629988.538181707</v>
      </c>
      <c r="S32" s="211"/>
    </row>
    <row r="33" spans="1:35" x14ac:dyDescent="0.2">
      <c r="A33" s="3"/>
      <c r="B33" s="94" t="s">
        <v>386</v>
      </c>
      <c r="C33" s="392">
        <f>+C31</f>
        <v>2320893.8574999999</v>
      </c>
      <c r="D33" s="392">
        <f>IF(AND(D31=0,D32=0),0,+C33+D31)</f>
        <v>12446968.501060568</v>
      </c>
      <c r="E33" s="392">
        <f t="shared" ref="E33:N33" si="0">IF(AND(E31=0,E32=0),0,+D33+E31)</f>
        <v>22250821.019621138</v>
      </c>
      <c r="F33" s="392">
        <f t="shared" si="0"/>
        <v>31629988.538181707</v>
      </c>
      <c r="G33" s="392">
        <f t="shared" si="0"/>
        <v>49892689.075692318</v>
      </c>
      <c r="H33" s="392">
        <f t="shared" si="0"/>
        <v>59598354.439203031</v>
      </c>
      <c r="I33" s="392">
        <f t="shared" si="0"/>
        <v>68496147.454037145</v>
      </c>
      <c r="J33" s="392">
        <f t="shared" si="0"/>
        <v>0</v>
      </c>
      <c r="K33" s="392">
        <f t="shared" si="0"/>
        <v>0</v>
      </c>
      <c r="L33" s="392">
        <f t="shared" si="0"/>
        <v>0</v>
      </c>
      <c r="M33" s="392">
        <f t="shared" si="0"/>
        <v>0</v>
      </c>
      <c r="N33" s="392">
        <f t="shared" si="0"/>
        <v>0</v>
      </c>
      <c r="O33" s="630"/>
      <c r="P33" s="371"/>
      <c r="Q33" s="212"/>
      <c r="R33" s="213">
        <f>+G33</f>
        <v>49892689.075692318</v>
      </c>
      <c r="S33" s="211"/>
    </row>
    <row r="34" spans="1:35" ht="16" thickBot="1" x14ac:dyDescent="0.25">
      <c r="A34" s="3"/>
      <c r="B34" s="95" t="s">
        <v>387</v>
      </c>
      <c r="C34" s="393">
        <f>+C32</f>
        <v>0</v>
      </c>
      <c r="D34" s="393">
        <f>IF(AND(D31=0,D32=0),0,+C34+D32)</f>
        <v>13715970</v>
      </c>
      <c r="E34" s="393">
        <f t="shared" ref="E34:N34" si="1">IF(AND(E31=0,E32=0),0,+D34+E32)</f>
        <v>13715970</v>
      </c>
      <c r="F34" s="393">
        <f t="shared" si="1"/>
        <v>37985508.219999999</v>
      </c>
      <c r="G34" s="393">
        <v>44178957.100000001</v>
      </c>
      <c r="H34" s="393">
        <f t="shared" si="1"/>
        <v>52571964.289999999</v>
      </c>
      <c r="I34" s="393">
        <f t="shared" si="1"/>
        <v>57059119.079999998</v>
      </c>
      <c r="J34" s="393">
        <f t="shared" si="1"/>
        <v>0</v>
      </c>
      <c r="K34" s="393">
        <f t="shared" si="1"/>
        <v>0</v>
      </c>
      <c r="L34" s="393">
        <f t="shared" si="1"/>
        <v>0</v>
      </c>
      <c r="M34" s="393">
        <f t="shared" si="1"/>
        <v>0</v>
      </c>
      <c r="N34" s="393">
        <f t="shared" si="1"/>
        <v>0</v>
      </c>
      <c r="O34" s="631"/>
      <c r="P34" s="371"/>
      <c r="Q34" s="212"/>
      <c r="R34" s="213">
        <f>+H33</f>
        <v>59598354.439203031</v>
      </c>
      <c r="S34" s="211"/>
    </row>
    <row r="35" spans="1:35" x14ac:dyDescent="0.2">
      <c r="A35" s="3"/>
      <c r="B35" s="3"/>
      <c r="C35" s="348">
        <f>+IF(AND(C30=$C$16,C33&lt;&gt;0),C34/C33,0)</f>
        <v>0</v>
      </c>
      <c r="D35" s="348">
        <f t="shared" ref="D35:N35" si="2">+IF(AND(D30=$C$16,D33&lt;&gt;0),D34/D33,0)</f>
        <v>0</v>
      </c>
      <c r="E35" s="348">
        <f t="shared" si="2"/>
        <v>0</v>
      </c>
      <c r="F35" s="348">
        <f t="shared" si="2"/>
        <v>0</v>
      </c>
      <c r="G35" s="348">
        <f t="shared" si="2"/>
        <v>0</v>
      </c>
      <c r="H35" s="348">
        <f t="shared" si="2"/>
        <v>0</v>
      </c>
      <c r="I35" s="348">
        <f t="shared" si="2"/>
        <v>0.83302669129367146</v>
      </c>
      <c r="J35" s="348">
        <f t="shared" si="2"/>
        <v>0</v>
      </c>
      <c r="K35" s="348">
        <f t="shared" si="2"/>
        <v>0</v>
      </c>
      <c r="L35" s="348">
        <f t="shared" si="2"/>
        <v>0</v>
      </c>
      <c r="M35" s="348">
        <f t="shared" si="2"/>
        <v>0</v>
      </c>
      <c r="N35" s="348">
        <f t="shared" si="2"/>
        <v>0</v>
      </c>
      <c r="O35" s="295"/>
      <c r="P35" s="214"/>
      <c r="Q35" s="215"/>
      <c r="R35" s="213">
        <f>+I33</f>
        <v>68496147.454037145</v>
      </c>
      <c r="S35" s="211"/>
    </row>
    <row r="36" spans="1:35" ht="19" x14ac:dyDescent="0.25">
      <c r="A36" s="3"/>
      <c r="B36" s="90" t="s">
        <v>379</v>
      </c>
      <c r="C36" s="3"/>
      <c r="D36" s="3"/>
      <c r="E36" s="362"/>
      <c r="F36" s="3"/>
      <c r="G36" s="266"/>
      <c r="H36" s="3"/>
      <c r="I36" s="3"/>
      <c r="J36" s="3"/>
      <c r="K36" s="3"/>
      <c r="L36" s="3"/>
      <c r="M36" s="3"/>
      <c r="N36" s="41"/>
      <c r="O36" s="41"/>
      <c r="AI36" s="20"/>
    </row>
    <row r="37" spans="1:35" ht="16" thickBot="1" x14ac:dyDescent="0.25">
      <c r="A37" s="3"/>
      <c r="B37" s="3"/>
      <c r="C37" s="3"/>
      <c r="D37" s="3"/>
      <c r="E37" s="3"/>
      <c r="F37" s="3"/>
      <c r="G37" s="3"/>
      <c r="H37" s="3"/>
      <c r="I37" s="3"/>
      <c r="J37" s="3"/>
      <c r="K37" s="3"/>
      <c r="L37" s="3"/>
      <c r="M37" s="3"/>
      <c r="N37" s="39"/>
      <c r="O37" s="39"/>
    </row>
    <row r="38" spans="1:35" ht="30" customHeight="1" x14ac:dyDescent="0.2">
      <c r="A38" s="3"/>
      <c r="B38" s="405" t="s">
        <v>462</v>
      </c>
      <c r="C38" s="406" t="str">
        <f>CONCATENATE("Cumulative Budget (in ",'Data Entry'!$D$26,")")</f>
        <v>Cumulative Budget (in $)</v>
      </c>
      <c r="D38" s="407" t="str">
        <f>CONCATENATE("Cumulative Expenditures (in ",'Data Entry'!$D$26,")")</f>
        <v>Cumulative Expenditures (in $)</v>
      </c>
      <c r="E38" s="281"/>
      <c r="F38" s="298"/>
      <c r="G38" s="3"/>
      <c r="H38" s="3"/>
      <c r="I38" s="3"/>
      <c r="J38" s="101"/>
      <c r="K38" s="42"/>
      <c r="N38"/>
      <c r="O38"/>
      <c r="AE38" s="20"/>
      <c r="AF38" s="36"/>
    </row>
    <row r="39" spans="1:35" ht="14.25" customHeight="1" x14ac:dyDescent="0.2">
      <c r="A39" s="3"/>
      <c r="B39" s="408" t="s">
        <v>456</v>
      </c>
      <c r="C39" s="403">
        <v>28645969.864630215</v>
      </c>
      <c r="D39" s="409">
        <v>29441754.333287001</v>
      </c>
      <c r="E39" s="296" t="s">
        <v>486</v>
      </c>
      <c r="F39" s="373"/>
      <c r="G39" s="374"/>
      <c r="H39" s="3"/>
      <c r="I39" s="3"/>
      <c r="J39" s="102"/>
      <c r="K39" s="43"/>
      <c r="N39"/>
      <c r="O39"/>
      <c r="AE39" s="20"/>
      <c r="AF39" s="36"/>
    </row>
    <row r="40" spans="1:35" ht="14.25" customHeight="1" x14ac:dyDescent="0.2">
      <c r="A40" s="3"/>
      <c r="B40" s="408" t="s">
        <v>457</v>
      </c>
      <c r="C40" s="403">
        <v>29088691.1992165</v>
      </c>
      <c r="D40" s="409">
        <v>17124335.66589471</v>
      </c>
      <c r="E40" s="15" t="s">
        <v>487</v>
      </c>
      <c r="F40" s="373"/>
      <c r="G40" s="374"/>
      <c r="H40" s="3"/>
      <c r="I40" s="3"/>
      <c r="J40" s="3"/>
      <c r="K40" s="43"/>
      <c r="N40"/>
      <c r="O40"/>
      <c r="AE40" s="20"/>
      <c r="AF40" s="36"/>
    </row>
    <row r="41" spans="1:35" x14ac:dyDescent="0.2">
      <c r="A41" s="3"/>
      <c r="B41" s="410" t="s">
        <v>458</v>
      </c>
      <c r="C41" s="404">
        <v>3440988.7765096957</v>
      </c>
      <c r="D41" s="409">
        <v>2259132.84</v>
      </c>
      <c r="E41" s="15" t="s">
        <v>488</v>
      </c>
      <c r="F41" s="375"/>
      <c r="G41" s="3"/>
      <c r="H41" s="3"/>
      <c r="I41" s="3"/>
      <c r="J41" s="3"/>
      <c r="K41" s="43"/>
      <c r="N41"/>
      <c r="O41"/>
      <c r="AE41" s="20"/>
      <c r="AF41" s="36"/>
    </row>
    <row r="42" spans="1:35" ht="15" customHeight="1" x14ac:dyDescent="0.2">
      <c r="A42" s="3"/>
      <c r="B42" s="408" t="s">
        <v>459</v>
      </c>
      <c r="C42" s="403">
        <v>5053567.1945765726</v>
      </c>
      <c r="D42" s="409">
        <v>4194231.0300000003</v>
      </c>
      <c r="E42" s="15" t="s">
        <v>489</v>
      </c>
      <c r="F42" s="372"/>
      <c r="G42" s="3"/>
      <c r="H42" s="3"/>
      <c r="I42" s="3"/>
      <c r="J42" s="3"/>
      <c r="K42" s="20"/>
      <c r="N42"/>
      <c r="O42"/>
      <c r="AE42" s="20"/>
      <c r="AF42" s="36"/>
    </row>
    <row r="43" spans="1:35" x14ac:dyDescent="0.2">
      <c r="A43" s="3"/>
      <c r="B43" s="410" t="s">
        <v>460</v>
      </c>
      <c r="C43" s="404">
        <v>217504.00773575052</v>
      </c>
      <c r="D43" s="409">
        <v>316505.62</v>
      </c>
      <c r="E43" s="15" t="s">
        <v>490</v>
      </c>
      <c r="F43" s="297"/>
      <c r="G43" s="3"/>
      <c r="H43" s="3"/>
      <c r="I43" s="3"/>
      <c r="J43" s="3"/>
      <c r="K43" s="20"/>
      <c r="N43"/>
      <c r="O43"/>
      <c r="AE43" s="20"/>
      <c r="AF43" s="36"/>
    </row>
    <row r="44" spans="1:35" x14ac:dyDescent="0.2">
      <c r="A44" s="3"/>
      <c r="B44" s="410" t="s">
        <v>461</v>
      </c>
      <c r="C44" s="404">
        <v>1564151.611368421</v>
      </c>
      <c r="D44" s="409">
        <v>1466849.4</v>
      </c>
      <c r="E44" s="15" t="s">
        <v>492</v>
      </c>
      <c r="F44" s="431"/>
      <c r="G44" s="3"/>
      <c r="H44" s="3"/>
      <c r="I44" s="3"/>
      <c r="J44" s="3"/>
      <c r="K44" s="20"/>
      <c r="N44"/>
      <c r="O44"/>
      <c r="AE44" s="20"/>
      <c r="AF44" s="36"/>
    </row>
    <row r="45" spans="1:35" x14ac:dyDescent="0.2">
      <c r="A45" s="3"/>
      <c r="B45" s="410" t="s">
        <v>471</v>
      </c>
      <c r="C45" s="404">
        <v>485274.8</v>
      </c>
      <c r="D45" s="409">
        <v>292401</v>
      </c>
      <c r="E45" s="15" t="s">
        <v>491</v>
      </c>
      <c r="F45" s="297"/>
      <c r="G45" s="15"/>
      <c r="H45" s="15"/>
      <c r="I45" s="15"/>
      <c r="J45" s="15"/>
      <c r="K45" s="20"/>
      <c r="N45"/>
      <c r="O45"/>
      <c r="AE45" s="36"/>
      <c r="AF45" s="36"/>
    </row>
    <row r="46" spans="1:35" ht="16" thickBot="1" x14ac:dyDescent="0.25">
      <c r="A46" s="3"/>
      <c r="B46" s="411"/>
      <c r="C46" s="403"/>
      <c r="D46" s="409"/>
      <c r="E46" s="15"/>
      <c r="F46" s="15"/>
      <c r="G46" s="15"/>
      <c r="H46" s="15"/>
      <c r="I46" s="15"/>
      <c r="J46" s="15"/>
      <c r="K46" s="20"/>
      <c r="N46"/>
      <c r="O46"/>
      <c r="AE46" s="36"/>
      <c r="AF46" s="36"/>
    </row>
    <row r="47" spans="1:35" ht="16" thickBot="1" x14ac:dyDescent="0.25">
      <c r="A47" s="3"/>
      <c r="B47" s="412" t="s">
        <v>59</v>
      </c>
      <c r="C47" s="413">
        <f>SUM(C39:C45)</f>
        <v>68496147.45403716</v>
      </c>
      <c r="D47" s="414">
        <f>SUM(D39:D45)</f>
        <v>55095209.889181703</v>
      </c>
      <c r="E47" s="295"/>
      <c r="F47" s="638" t="str">
        <f ca="1">+IF((ROUND(C47,0)=ROUND(OFFSET(B33,0,RIGHT('Data Entry'!$C$16,LEN('Data Entry'!$C$16)-1),1,1),0)),"OK: Data match","Warning: Data does not match")</f>
        <v>OK: Data match</v>
      </c>
      <c r="G47" s="639"/>
      <c r="H47" s="639"/>
      <c r="I47" s="640"/>
      <c r="J47" s="205"/>
      <c r="K47" s="205"/>
      <c r="L47" s="205"/>
      <c r="M47" s="214"/>
      <c r="N47" s="215"/>
      <c r="O47" s="213"/>
      <c r="P47" s="211"/>
      <c r="AE47" s="36"/>
      <c r="AF47" s="36"/>
    </row>
    <row r="48" spans="1:35" x14ac:dyDescent="0.2">
      <c r="A48" s="3"/>
      <c r="B48" s="3"/>
      <c r="C48" s="205"/>
      <c r="D48" s="205"/>
      <c r="E48" s="278"/>
      <c r="F48" s="205"/>
      <c r="G48" s="205"/>
      <c r="H48" s="205"/>
      <c r="I48" s="205"/>
      <c r="J48" s="205"/>
      <c r="K48" s="205"/>
      <c r="L48" s="205"/>
      <c r="M48" s="205"/>
      <c r="N48" s="205"/>
      <c r="O48" s="205"/>
      <c r="P48" s="214"/>
      <c r="Q48" s="215"/>
      <c r="R48" s="213"/>
      <c r="S48" s="211"/>
    </row>
    <row r="49" spans="1:35" ht="19" x14ac:dyDescent="0.25">
      <c r="A49" s="3"/>
      <c r="B49" s="90" t="s">
        <v>378</v>
      </c>
      <c r="C49" s="3"/>
      <c r="D49" s="3"/>
      <c r="E49" s="3"/>
      <c r="F49" s="3"/>
      <c r="G49" s="3"/>
      <c r="H49" s="3"/>
      <c r="I49" s="3"/>
      <c r="J49" s="3"/>
      <c r="K49" s="3"/>
      <c r="L49" s="3"/>
      <c r="M49" s="3"/>
      <c r="P49" s="211"/>
      <c r="Q49" s="212"/>
      <c r="R49" s="213">
        <f>+J33</f>
        <v>0</v>
      </c>
      <c r="S49" s="211"/>
    </row>
    <row r="50" spans="1:35" ht="16" thickBot="1" x14ac:dyDescent="0.25">
      <c r="A50" s="3"/>
      <c r="B50" s="3"/>
      <c r="C50" s="3"/>
      <c r="D50" s="3"/>
      <c r="E50" s="3"/>
      <c r="F50" s="3"/>
      <c r="G50" s="3"/>
      <c r="H50" s="3"/>
      <c r="I50" s="3"/>
      <c r="J50" s="3"/>
      <c r="K50" s="3"/>
      <c r="L50" s="3"/>
      <c r="M50" s="3"/>
      <c r="P50" s="211"/>
      <c r="Q50" s="212"/>
      <c r="R50" s="213">
        <f>+K33</f>
        <v>0</v>
      </c>
      <c r="S50" s="211"/>
    </row>
    <row r="51" spans="1:35" ht="35.25" customHeight="1" x14ac:dyDescent="0.2">
      <c r="A51" s="3"/>
      <c r="B51" s="301"/>
      <c r="C51" s="302" t="s">
        <v>376</v>
      </c>
      <c r="D51" s="302" t="s">
        <v>377</v>
      </c>
      <c r="E51" s="429" t="str">
        <f>CONCATENATE("Total Spent and Disbursement (in ",D26,")")</f>
        <v>Total Spent and Disbursement (in $)</v>
      </c>
      <c r="F51" s="3"/>
      <c r="G51" s="305"/>
      <c r="H51" s="298"/>
      <c r="I51" s="284"/>
      <c r="J51" s="284"/>
      <c r="K51" s="284"/>
      <c r="L51" s="284"/>
      <c r="M51" s="22"/>
      <c r="N51" s="22"/>
      <c r="O51" s="211"/>
      <c r="P51" s="212"/>
      <c r="Q51" s="213">
        <f>+M33</f>
        <v>0</v>
      </c>
      <c r="R51" s="211"/>
      <c r="AH51" s="20"/>
    </row>
    <row r="52" spans="1:35" x14ac:dyDescent="0.2">
      <c r="A52" s="3"/>
      <c r="B52" s="299" t="s">
        <v>311</v>
      </c>
      <c r="C52" s="518">
        <v>8393007</v>
      </c>
      <c r="D52" s="395">
        <v>4487154.79</v>
      </c>
      <c r="E52" s="396">
        <f>+D52+C52</f>
        <v>12880161.789999999</v>
      </c>
      <c r="F52" s="3"/>
      <c r="G52" s="97"/>
      <c r="H52" s="303"/>
      <c r="I52" s="96"/>
      <c r="J52" s="208"/>
      <c r="K52" s="209"/>
      <c r="L52" s="98"/>
      <c r="M52" s="37"/>
      <c r="N52" s="37"/>
      <c r="O52" s="211"/>
      <c r="P52" s="211"/>
      <c r="Q52" s="211"/>
      <c r="R52" s="211"/>
      <c r="AH52" s="20"/>
    </row>
    <row r="53" spans="1:35" x14ac:dyDescent="0.2">
      <c r="A53" s="3"/>
      <c r="B53" s="299" t="s">
        <v>291</v>
      </c>
      <c r="C53" s="517">
        <v>15928857.999</v>
      </c>
      <c r="D53" s="394">
        <v>7722369.4100000001</v>
      </c>
      <c r="E53" s="396">
        <f>+D53+C53</f>
        <v>23651227.409000002</v>
      </c>
      <c r="F53" s="3" t="s">
        <v>493</v>
      </c>
      <c r="G53" s="260"/>
      <c r="H53" s="303"/>
      <c r="I53" s="96"/>
      <c r="J53" s="208"/>
      <c r="K53" s="208"/>
      <c r="L53" s="98"/>
      <c r="M53" s="38"/>
      <c r="N53" s="38"/>
      <c r="O53" s="211"/>
      <c r="P53" s="211"/>
      <c r="Q53" s="211"/>
      <c r="R53" s="211"/>
      <c r="AH53" s="20"/>
    </row>
    <row r="54" spans="1:35" x14ac:dyDescent="0.2">
      <c r="A54" s="3"/>
      <c r="B54" s="299" t="s">
        <v>270</v>
      </c>
      <c r="C54" s="517">
        <v>258157</v>
      </c>
      <c r="D54" s="394">
        <v>0</v>
      </c>
      <c r="E54" s="396">
        <f>+D54+C54</f>
        <v>258157</v>
      </c>
      <c r="F54" s="3"/>
      <c r="G54" s="97"/>
      <c r="H54" s="303"/>
      <c r="I54" s="96"/>
      <c r="J54" s="208"/>
      <c r="K54" s="209"/>
      <c r="L54" s="98"/>
      <c r="M54" s="37"/>
      <c r="N54" s="37"/>
      <c r="O54"/>
      <c r="AH54" s="20"/>
    </row>
    <row r="55" spans="1:35" ht="16" thickBot="1" x14ac:dyDescent="0.25">
      <c r="A55" s="3"/>
      <c r="B55" s="300" t="s">
        <v>271</v>
      </c>
      <c r="C55" s="517">
        <v>251841.22</v>
      </c>
      <c r="D55" s="397">
        <v>0</v>
      </c>
      <c r="E55" s="398">
        <f>+D55+C55</f>
        <v>251841.22</v>
      </c>
      <c r="F55" s="3"/>
      <c r="G55" s="261"/>
      <c r="H55" s="304"/>
      <c r="I55" s="99"/>
      <c r="J55" s="99"/>
      <c r="K55" s="99"/>
      <c r="L55" s="98"/>
      <c r="M55" s="38"/>
      <c r="N55" s="38"/>
      <c r="O55"/>
      <c r="AH55" s="20"/>
    </row>
    <row r="56" spans="1:35" ht="15.75" customHeight="1" x14ac:dyDescent="0.2">
      <c r="A56" s="3"/>
      <c r="B56" s="3"/>
      <c r="C56" s="3"/>
      <c r="D56" s="3"/>
      <c r="E56" s="3"/>
      <c r="F56" s="3"/>
      <c r="G56" s="3"/>
      <c r="H56" s="3"/>
      <c r="I56" s="3"/>
      <c r="J56" s="3"/>
      <c r="K56" s="3"/>
      <c r="L56" s="3"/>
      <c r="M56" s="3"/>
      <c r="AI56" s="20"/>
    </row>
    <row r="57" spans="1:35" x14ac:dyDescent="0.2">
      <c r="A57" s="3"/>
      <c r="B57" s="3"/>
      <c r="C57" s="3"/>
      <c r="D57" s="282"/>
      <c r="E57" s="3"/>
      <c r="F57" s="3"/>
      <c r="G57" s="3"/>
      <c r="H57" s="3"/>
      <c r="I57" s="3"/>
      <c r="J57" s="3"/>
      <c r="K57" s="3"/>
      <c r="L57" s="3"/>
      <c r="M57" s="3"/>
    </row>
    <row r="58" spans="1:35" ht="19" x14ac:dyDescent="0.25">
      <c r="A58" s="3"/>
      <c r="B58" s="90" t="s">
        <v>381</v>
      </c>
      <c r="C58" s="3"/>
      <c r="D58" s="3"/>
      <c r="E58" s="3"/>
      <c r="F58" s="3"/>
      <c r="G58" s="3"/>
      <c r="H58" s="3"/>
      <c r="I58" s="3"/>
      <c r="J58" s="3"/>
      <c r="K58" s="3"/>
      <c r="L58" s="3"/>
      <c r="M58" s="3"/>
    </row>
    <row r="59" spans="1:35" ht="16" thickBot="1" x14ac:dyDescent="0.25">
      <c r="A59" s="3"/>
      <c r="B59" s="3"/>
      <c r="C59" s="3"/>
      <c r="D59" s="3"/>
      <c r="E59" s="3"/>
      <c r="F59" s="3"/>
      <c r="G59" s="3"/>
      <c r="H59" s="3"/>
      <c r="I59" s="3"/>
      <c r="J59" s="3"/>
      <c r="K59" s="3"/>
      <c r="L59" s="3"/>
      <c r="M59" s="3"/>
    </row>
    <row r="60" spans="1:35" x14ac:dyDescent="0.2">
      <c r="A60" s="3"/>
      <c r="B60" s="714" t="s">
        <v>346</v>
      </c>
      <c r="C60" s="715"/>
      <c r="D60" s="716"/>
      <c r="E60" s="3"/>
      <c r="F60" s="3"/>
      <c r="G60" s="3"/>
      <c r="H60" s="3"/>
      <c r="I60" s="3"/>
      <c r="J60" s="3"/>
      <c r="K60" s="3"/>
      <c r="L60" s="3"/>
      <c r="M60" s="36"/>
      <c r="O60"/>
    </row>
    <row r="61" spans="1:35" x14ac:dyDescent="0.2">
      <c r="A61" s="3"/>
      <c r="B61" s="103"/>
      <c r="C61" s="307" t="s">
        <v>61</v>
      </c>
      <c r="D61" s="308" t="s">
        <v>62</v>
      </c>
      <c r="E61" s="3"/>
      <c r="F61" s="3"/>
      <c r="G61" s="3"/>
      <c r="H61" s="3"/>
      <c r="I61" s="3"/>
      <c r="J61" s="3"/>
      <c r="K61" s="3"/>
      <c r="L61" s="3"/>
      <c r="M61" s="36"/>
      <c r="O61"/>
    </row>
    <row r="62" spans="1:35" x14ac:dyDescent="0.2">
      <c r="A62" s="3"/>
      <c r="B62" s="104" t="s">
        <v>1</v>
      </c>
      <c r="C62" s="376">
        <v>45</v>
      </c>
      <c r="D62" s="494">
        <v>45</v>
      </c>
      <c r="E62" s="3"/>
      <c r="F62" s="3"/>
      <c r="G62" s="3"/>
      <c r="H62" s="3"/>
      <c r="I62" s="3"/>
      <c r="J62" s="3"/>
      <c r="K62" s="3"/>
      <c r="L62" s="3"/>
      <c r="M62" s="36"/>
      <c r="O62"/>
    </row>
    <row r="63" spans="1:35" x14ac:dyDescent="0.2">
      <c r="A63" s="3"/>
      <c r="B63" s="306" t="s">
        <v>363</v>
      </c>
      <c r="C63" s="376">
        <v>45</v>
      </c>
      <c r="D63" s="377">
        <v>67</v>
      </c>
      <c r="E63" s="3"/>
      <c r="F63" s="3"/>
      <c r="G63" s="3"/>
      <c r="H63" s="303"/>
      <c r="I63" s="303"/>
      <c r="J63" s="3"/>
      <c r="K63" s="3"/>
      <c r="L63" s="3"/>
      <c r="M63" s="36"/>
      <c r="O63"/>
    </row>
    <row r="64" spans="1:35" ht="16" thickBot="1" x14ac:dyDescent="0.25">
      <c r="A64" s="3"/>
      <c r="B64" s="105" t="s">
        <v>364</v>
      </c>
      <c r="C64" s="378">
        <v>20</v>
      </c>
      <c r="D64" s="495">
        <v>20</v>
      </c>
      <c r="E64" s="3"/>
      <c r="F64" s="3"/>
      <c r="G64" s="3"/>
      <c r="H64" s="303"/>
      <c r="I64" s="303"/>
      <c r="J64" s="3"/>
      <c r="K64" s="3"/>
      <c r="L64" s="3"/>
      <c r="M64" s="36"/>
      <c r="O64"/>
    </row>
    <row r="65" spans="1:30" x14ac:dyDescent="0.2">
      <c r="A65" s="3"/>
      <c r="B65" s="3"/>
      <c r="C65" s="3"/>
      <c r="D65" s="3"/>
      <c r="E65" s="3"/>
      <c r="F65" s="3"/>
      <c r="G65" s="3"/>
      <c r="H65" s="3"/>
      <c r="I65" s="3"/>
      <c r="J65" s="3"/>
      <c r="K65" s="3"/>
      <c r="L65" s="3"/>
      <c r="M65" s="3"/>
    </row>
    <row r="66" spans="1:30" ht="16" thickBot="1" x14ac:dyDescent="0.25">
      <c r="A66" s="3"/>
      <c r="B66" s="3"/>
      <c r="C66" s="3"/>
      <c r="D66" s="3"/>
      <c r="E66" s="3"/>
      <c r="F66" s="3"/>
      <c r="G66" s="3"/>
      <c r="H66" s="3"/>
      <c r="I66" s="3"/>
      <c r="J66" s="3"/>
      <c r="K66" s="3"/>
      <c r="L66" s="425"/>
      <c r="M66" s="3"/>
      <c r="AC66" s="19"/>
      <c r="AD66" s="19"/>
    </row>
    <row r="67" spans="1:30" ht="20" thickBot="1" x14ac:dyDescent="0.3">
      <c r="A67" s="3"/>
      <c r="B67" s="106" t="s">
        <v>264</v>
      </c>
      <c r="C67" s="107"/>
      <c r="D67" s="107"/>
      <c r="E67" s="107"/>
      <c r="F67" s="107"/>
      <c r="G67" s="107"/>
      <c r="H67" s="331" t="s">
        <v>304</v>
      </c>
      <c r="I67" s="107"/>
      <c r="J67" s="108"/>
      <c r="K67" s="108"/>
      <c r="L67" s="426"/>
      <c r="M67" s="427"/>
      <c r="N67" s="84"/>
      <c r="O67" s="84"/>
      <c r="P67" s="84"/>
      <c r="S67" s="44"/>
      <c r="AC67" s="19"/>
      <c r="AD67" s="19"/>
    </row>
    <row r="68" spans="1:30" ht="19" x14ac:dyDescent="0.25">
      <c r="A68" s="3"/>
      <c r="B68" s="110"/>
      <c r="C68" s="109"/>
      <c r="D68" s="109"/>
      <c r="E68" s="109"/>
      <c r="F68" s="109"/>
      <c r="G68" s="109"/>
      <c r="H68" s="109"/>
      <c r="I68" s="109"/>
      <c r="J68" s="109"/>
      <c r="K68" s="111"/>
      <c r="L68" s="111"/>
      <c r="M68" s="109"/>
      <c r="N68" s="84"/>
      <c r="O68" s="84"/>
      <c r="P68" s="84"/>
      <c r="S68" s="44"/>
      <c r="AC68" s="19"/>
      <c r="AD68" s="19"/>
    </row>
    <row r="69" spans="1:30" ht="19" x14ac:dyDescent="0.25">
      <c r="A69" s="3"/>
      <c r="B69" s="110" t="s">
        <v>382</v>
      </c>
      <c r="C69" s="109"/>
      <c r="D69" s="109"/>
      <c r="E69" s="109"/>
      <c r="F69" s="109"/>
      <c r="G69" s="109"/>
      <c r="H69" s="109"/>
      <c r="I69" s="109"/>
      <c r="J69" s="109"/>
      <c r="K69" s="111"/>
      <c r="L69" s="111"/>
      <c r="M69" s="109"/>
      <c r="N69" s="84"/>
      <c r="O69" s="84"/>
      <c r="P69" s="84"/>
      <c r="S69" s="44"/>
      <c r="AC69" s="19"/>
      <c r="AD69" s="19"/>
    </row>
    <row r="70" spans="1:30" ht="16" thickBot="1" x14ac:dyDescent="0.25">
      <c r="A70" s="3"/>
      <c r="B70" s="2"/>
      <c r="C70" s="112"/>
      <c r="D70" s="112"/>
      <c r="E70" s="112"/>
      <c r="F70" s="112"/>
      <c r="G70" s="112"/>
      <c r="H70" s="2"/>
      <c r="I70" s="112"/>
      <c r="J70" s="2"/>
      <c r="K70" s="2"/>
      <c r="L70" s="2"/>
      <c r="M70" s="2"/>
      <c r="N70" s="20"/>
      <c r="O70" s="19"/>
      <c r="P70" s="19"/>
      <c r="Q70" s="19"/>
      <c r="R70" s="19"/>
      <c r="S70" s="19"/>
      <c r="AD70" s="19"/>
    </row>
    <row r="71" spans="1:30" ht="30" x14ac:dyDescent="0.2">
      <c r="A71" s="3"/>
      <c r="B71" s="668"/>
      <c r="C71" s="669"/>
      <c r="D71" s="114" t="s">
        <v>118</v>
      </c>
      <c r="E71" s="115" t="s">
        <v>297</v>
      </c>
      <c r="F71" s="115" t="s">
        <v>119</v>
      </c>
      <c r="G71" s="116" t="s">
        <v>59</v>
      </c>
      <c r="H71" s="316"/>
      <c r="I71" s="317"/>
      <c r="J71" s="15"/>
      <c r="K71" s="2"/>
      <c r="L71" s="2"/>
      <c r="M71" s="2"/>
      <c r="N71" s="20"/>
      <c r="O71" s="19"/>
      <c r="P71" s="19"/>
      <c r="Q71" s="19"/>
      <c r="R71" s="19"/>
      <c r="S71" s="19"/>
    </row>
    <row r="72" spans="1:30" x14ac:dyDescent="0.2">
      <c r="A72" s="3"/>
      <c r="B72" s="702" t="s">
        <v>402</v>
      </c>
      <c r="C72" s="703"/>
      <c r="D72" s="263">
        <v>3</v>
      </c>
      <c r="E72" s="263">
        <v>3</v>
      </c>
      <c r="F72" s="263">
        <v>0</v>
      </c>
      <c r="G72" s="118">
        <f>SUM(D72:F72)</f>
        <v>6</v>
      </c>
      <c r="H72" s="297"/>
      <c r="I72" s="315"/>
      <c r="J72" s="315"/>
      <c r="K72" s="2"/>
      <c r="L72" s="2"/>
      <c r="M72" s="2"/>
      <c r="N72" s="20"/>
      <c r="O72" s="19"/>
      <c r="P72" s="19"/>
      <c r="Q72" s="19"/>
      <c r="R72" s="19"/>
      <c r="S72" s="19"/>
    </row>
    <row r="73" spans="1:30" ht="16" thickBot="1" x14ac:dyDescent="0.25">
      <c r="A73" s="3"/>
      <c r="B73" s="717" t="s">
        <v>11</v>
      </c>
      <c r="C73" s="718"/>
      <c r="D73" s="264">
        <v>0</v>
      </c>
      <c r="E73" s="264">
        <v>0</v>
      </c>
      <c r="F73" s="264">
        <v>0</v>
      </c>
      <c r="G73" s="120">
        <f>SUM(D73:F73)</f>
        <v>0</v>
      </c>
      <c r="H73" s="297"/>
      <c r="I73" s="15"/>
      <c r="J73" s="15"/>
      <c r="K73" s="2"/>
      <c r="L73" s="2"/>
      <c r="M73" s="2"/>
      <c r="N73" s="19"/>
      <c r="O73" s="19"/>
      <c r="P73" s="19"/>
      <c r="Q73" s="19"/>
      <c r="R73" s="19"/>
      <c r="S73" s="19"/>
    </row>
    <row r="74" spans="1:30" x14ac:dyDescent="0.2">
      <c r="A74" s="3"/>
      <c r="B74" s="2"/>
      <c r="C74" s="2"/>
      <c r="D74" s="2"/>
      <c r="E74" s="2"/>
      <c r="F74" s="2"/>
      <c r="G74" s="2"/>
      <c r="H74" s="2"/>
      <c r="I74" s="2"/>
      <c r="J74" s="2"/>
      <c r="K74" s="2"/>
      <c r="L74" s="2"/>
      <c r="M74" s="2"/>
      <c r="N74" s="19"/>
      <c r="O74" s="19"/>
      <c r="P74" s="19"/>
      <c r="Q74" s="19"/>
      <c r="R74" s="19"/>
      <c r="S74" s="19"/>
    </row>
    <row r="75" spans="1:30" x14ac:dyDescent="0.2">
      <c r="A75" s="3"/>
      <c r="B75" s="2"/>
      <c r="C75" s="2"/>
      <c r="D75" s="2"/>
      <c r="E75" s="2"/>
      <c r="F75" s="2"/>
      <c r="G75" s="2"/>
      <c r="H75" s="2"/>
      <c r="I75" s="2"/>
      <c r="J75" s="2"/>
      <c r="K75" s="2"/>
      <c r="L75" s="2"/>
      <c r="M75" s="2"/>
      <c r="N75" s="19"/>
      <c r="O75" s="19"/>
      <c r="P75" s="19"/>
      <c r="S75" s="19"/>
    </row>
    <row r="76" spans="1:30" ht="19" x14ac:dyDescent="0.25">
      <c r="A76" s="3"/>
      <c r="B76" s="110" t="s">
        <v>383</v>
      </c>
      <c r="C76" s="2"/>
      <c r="D76" s="2"/>
      <c r="E76" s="2"/>
      <c r="F76" s="2"/>
      <c r="G76" s="2"/>
      <c r="H76" s="2"/>
      <c r="I76" s="2"/>
      <c r="J76" s="2"/>
      <c r="K76" s="2"/>
      <c r="L76" s="2"/>
      <c r="M76" s="2"/>
      <c r="N76" s="19"/>
      <c r="O76" s="19"/>
      <c r="P76" s="19"/>
      <c r="S76" s="19"/>
    </row>
    <row r="77" spans="1:30" ht="16" thickBot="1" x14ac:dyDescent="0.25">
      <c r="A77" s="3"/>
      <c r="B77" s="2"/>
      <c r="C77" s="2"/>
      <c r="D77" s="2"/>
      <c r="E77" s="2"/>
      <c r="F77" s="2"/>
      <c r="G77" s="2"/>
      <c r="H77" s="2"/>
      <c r="I77" s="2"/>
      <c r="J77" s="2"/>
      <c r="K77" s="2"/>
      <c r="L77" s="2"/>
      <c r="M77" s="2"/>
      <c r="N77" s="19"/>
      <c r="O77" s="19"/>
      <c r="P77" s="19"/>
      <c r="S77" s="19"/>
    </row>
    <row r="78" spans="1:30" x14ac:dyDescent="0.2">
      <c r="A78" s="3"/>
      <c r="B78" s="121"/>
      <c r="C78" s="113" t="s">
        <v>64</v>
      </c>
      <c r="D78" s="113" t="s">
        <v>82</v>
      </c>
      <c r="E78" s="122" t="s">
        <v>65</v>
      </c>
      <c r="F78" s="15"/>
      <c r="G78" s="15"/>
      <c r="H78" s="15"/>
      <c r="I78" s="317"/>
      <c r="J78" s="2"/>
      <c r="K78" s="2"/>
      <c r="L78" s="2"/>
      <c r="M78" s="2"/>
      <c r="N78" s="19"/>
      <c r="O78" s="19"/>
      <c r="P78" s="19"/>
      <c r="S78" s="19"/>
    </row>
    <row r="79" spans="1:30" ht="16" thickBot="1" x14ac:dyDescent="0.25">
      <c r="A79" s="3"/>
      <c r="B79" s="123" t="s">
        <v>312</v>
      </c>
      <c r="C79" s="363">
        <v>6</v>
      </c>
      <c r="D79" s="363">
        <v>6</v>
      </c>
      <c r="E79" s="364">
        <f>+C79-D79</f>
        <v>0</v>
      </c>
      <c r="F79" s="271"/>
      <c r="G79" s="279"/>
      <c r="H79" s="15"/>
      <c r="I79" s="315"/>
      <c r="J79" s="2"/>
      <c r="K79" s="2"/>
      <c r="L79" s="2"/>
      <c r="M79" s="2"/>
      <c r="N79" s="19"/>
      <c r="O79" s="19"/>
      <c r="P79" s="19"/>
      <c r="S79" s="19"/>
    </row>
    <row r="80" spans="1:30" x14ac:dyDescent="0.2">
      <c r="A80" s="3"/>
      <c r="B80" s="2"/>
      <c r="C80" s="2"/>
      <c r="D80" s="2"/>
      <c r="E80" s="2"/>
      <c r="F80" s="2"/>
      <c r="G80" s="2"/>
      <c r="H80" s="2"/>
      <c r="I80" s="2"/>
      <c r="J80" s="2"/>
      <c r="K80" s="2"/>
      <c r="L80" s="2"/>
      <c r="M80" s="2"/>
      <c r="N80" s="19"/>
      <c r="O80" s="19"/>
      <c r="P80" s="19"/>
      <c r="S80" s="19"/>
    </row>
    <row r="81" spans="1:36" ht="19" x14ac:dyDescent="0.25">
      <c r="A81" s="3"/>
      <c r="B81" s="110" t="s">
        <v>388</v>
      </c>
      <c r="C81" s="2"/>
      <c r="D81" s="2"/>
      <c r="E81" s="2"/>
      <c r="F81" s="2"/>
      <c r="G81" s="2"/>
      <c r="H81" s="2"/>
      <c r="I81" s="2"/>
      <c r="J81" s="2"/>
      <c r="K81" s="2"/>
      <c r="L81" s="2"/>
      <c r="M81" s="2"/>
      <c r="N81" s="19"/>
      <c r="O81" s="19"/>
      <c r="P81" s="19"/>
      <c r="S81" s="19"/>
    </row>
    <row r="82" spans="1:36" ht="16" thickBot="1" x14ac:dyDescent="0.25">
      <c r="A82" s="3"/>
      <c r="B82" s="2"/>
      <c r="C82" s="2"/>
      <c r="D82" s="2"/>
      <c r="E82" s="2"/>
      <c r="F82" s="2"/>
      <c r="G82" s="2"/>
      <c r="H82" s="2"/>
      <c r="I82" s="2"/>
      <c r="J82" s="2"/>
      <c r="K82" s="2"/>
      <c r="L82" s="2"/>
      <c r="M82" s="2"/>
      <c r="N82" s="19"/>
      <c r="O82" s="19"/>
      <c r="P82" s="19"/>
      <c r="S82" s="19"/>
    </row>
    <row r="83" spans="1:36" x14ac:dyDescent="0.2">
      <c r="A83" s="3"/>
      <c r="B83" s="121"/>
      <c r="C83" s="113" t="s">
        <v>292</v>
      </c>
      <c r="D83" s="113" t="s">
        <v>68</v>
      </c>
      <c r="E83" s="113" t="s">
        <v>83</v>
      </c>
      <c r="F83" s="113" t="s">
        <v>69</v>
      </c>
      <c r="G83" s="153" t="s">
        <v>120</v>
      </c>
      <c r="H83" s="280"/>
      <c r="I83" s="317"/>
      <c r="J83" s="2"/>
      <c r="K83" s="2"/>
      <c r="L83" s="2"/>
      <c r="M83" s="2"/>
      <c r="N83" s="19"/>
      <c r="O83" s="19"/>
      <c r="P83" s="19"/>
      <c r="S83" s="19"/>
    </row>
    <row r="84" spans="1:36" ht="16" thickBot="1" x14ac:dyDescent="0.25">
      <c r="A84" s="3"/>
      <c r="B84" s="123" t="s">
        <v>128</v>
      </c>
      <c r="C84" s="363">
        <v>61</v>
      </c>
      <c r="D84" s="363">
        <v>61</v>
      </c>
      <c r="E84" s="363">
        <v>33</v>
      </c>
      <c r="F84" s="363">
        <v>33</v>
      </c>
      <c r="G84" s="365">
        <v>33</v>
      </c>
      <c r="H84" s="318"/>
      <c r="I84" s="297"/>
      <c r="J84" s="2"/>
      <c r="K84" s="2"/>
      <c r="L84" s="2"/>
      <c r="M84" s="2"/>
      <c r="N84" s="19"/>
      <c r="O84" s="19"/>
      <c r="P84" s="19"/>
      <c r="S84" s="19"/>
    </row>
    <row r="85" spans="1:36" x14ac:dyDescent="0.2">
      <c r="A85" s="3"/>
      <c r="B85" s="2"/>
      <c r="C85" s="2"/>
      <c r="D85" s="2"/>
      <c r="E85" s="2"/>
      <c r="F85" s="2"/>
      <c r="G85" s="2"/>
      <c r="H85" s="2"/>
      <c r="J85" s="2"/>
      <c r="K85" s="2"/>
      <c r="L85" s="2"/>
      <c r="M85" s="2"/>
      <c r="N85" s="19"/>
      <c r="O85" s="19"/>
      <c r="P85" s="19"/>
      <c r="S85" s="19"/>
    </row>
    <row r="86" spans="1:36" ht="19" x14ac:dyDescent="0.25">
      <c r="A86" s="3"/>
      <c r="B86" s="110" t="s">
        <v>384</v>
      </c>
      <c r="C86" s="2"/>
      <c r="D86" s="2"/>
      <c r="E86" s="2"/>
      <c r="F86" s="2"/>
      <c r="G86" s="2"/>
      <c r="H86" s="2"/>
      <c r="I86" s="2"/>
      <c r="J86" s="2"/>
      <c r="K86" s="2"/>
      <c r="L86" s="2"/>
      <c r="M86" s="2"/>
      <c r="N86" s="19"/>
      <c r="O86" s="19"/>
      <c r="P86" s="19"/>
      <c r="S86" s="19"/>
    </row>
    <row r="87" spans="1:36" ht="16" thickBot="1" x14ac:dyDescent="0.25">
      <c r="A87" s="3"/>
      <c r="B87" s="2"/>
      <c r="C87" s="2"/>
      <c r="D87" s="2"/>
      <c r="E87" s="2"/>
      <c r="F87" s="2"/>
      <c r="G87" s="2"/>
      <c r="H87" s="2"/>
      <c r="I87" s="2"/>
      <c r="J87" s="2"/>
      <c r="K87" s="2"/>
      <c r="L87" s="2"/>
      <c r="M87" s="2"/>
      <c r="N87" s="19"/>
      <c r="O87" s="19"/>
      <c r="P87" s="19"/>
      <c r="S87" s="19"/>
    </row>
    <row r="88" spans="1:36" x14ac:dyDescent="0.2">
      <c r="A88" s="3"/>
      <c r="B88" s="121"/>
      <c r="C88" s="124" t="s">
        <v>66</v>
      </c>
      <c r="D88" s="124" t="s">
        <v>67</v>
      </c>
      <c r="E88" s="125" t="s">
        <v>289</v>
      </c>
      <c r="F88" s="2"/>
      <c r="G88" s="2"/>
      <c r="H88" s="2"/>
      <c r="I88" s="2"/>
      <c r="J88" s="19"/>
      <c r="K88" s="19"/>
      <c r="L88" s="19"/>
      <c r="N88"/>
      <c r="O88" s="19"/>
      <c r="AG88" s="36"/>
      <c r="AJ88"/>
    </row>
    <row r="89" spans="1:36" x14ac:dyDescent="0.2">
      <c r="A89" s="3"/>
      <c r="B89" s="117" t="s">
        <v>389</v>
      </c>
      <c r="C89" s="263">
        <v>0</v>
      </c>
      <c r="D89" s="265">
        <v>0</v>
      </c>
      <c r="E89" s="319">
        <f>C89-D89</f>
        <v>0</v>
      </c>
      <c r="F89" s="2"/>
      <c r="G89" s="2"/>
      <c r="H89" s="2"/>
      <c r="I89" s="2"/>
      <c r="J89" s="19"/>
      <c r="K89" s="19"/>
      <c r="L89" s="19"/>
      <c r="N89"/>
      <c r="O89" s="19"/>
      <c r="AG89" s="36"/>
      <c r="AJ89"/>
    </row>
    <row r="90" spans="1:36" ht="16" thickBot="1" x14ac:dyDescent="0.25">
      <c r="A90" s="3"/>
      <c r="B90" s="119" t="s">
        <v>390</v>
      </c>
      <c r="C90" s="264">
        <v>0</v>
      </c>
      <c r="D90" s="320">
        <v>0</v>
      </c>
      <c r="E90" s="478">
        <f>C90-D90</f>
        <v>0</v>
      </c>
      <c r="F90" s="2"/>
      <c r="G90" s="2"/>
      <c r="H90" s="2"/>
      <c r="I90" s="2"/>
      <c r="J90" s="19"/>
      <c r="K90" s="19"/>
      <c r="L90" s="19"/>
      <c r="N90"/>
      <c r="O90" s="19"/>
      <c r="AG90" s="36"/>
      <c r="AJ90"/>
    </row>
    <row r="91" spans="1:36" x14ac:dyDescent="0.2">
      <c r="A91" s="3"/>
      <c r="B91" s="2"/>
      <c r="C91" s="2"/>
      <c r="D91" s="2"/>
      <c r="E91" s="2"/>
      <c r="F91" s="2"/>
      <c r="G91" s="2"/>
      <c r="H91" s="2"/>
      <c r="I91" s="2"/>
      <c r="J91" s="2"/>
      <c r="K91" s="2"/>
      <c r="L91" s="2"/>
      <c r="M91" s="2"/>
      <c r="N91" s="19"/>
      <c r="O91" s="19"/>
      <c r="P91" s="19"/>
      <c r="S91" s="19"/>
    </row>
    <row r="92" spans="1:36" ht="19" x14ac:dyDescent="0.25">
      <c r="A92" s="3"/>
      <c r="B92" s="110" t="s">
        <v>391</v>
      </c>
      <c r="C92" s="2"/>
      <c r="D92" s="2"/>
      <c r="E92" s="2"/>
      <c r="F92" s="2"/>
      <c r="G92" s="2"/>
      <c r="H92" s="2"/>
      <c r="I92" s="2"/>
      <c r="J92" s="2"/>
      <c r="K92" s="2"/>
      <c r="L92" s="2"/>
      <c r="M92" s="2"/>
      <c r="N92" s="19"/>
      <c r="O92" s="19"/>
      <c r="P92" s="19"/>
      <c r="S92" s="19"/>
    </row>
    <row r="93" spans="1:36" ht="16" thickBot="1" x14ac:dyDescent="0.25">
      <c r="A93" s="3"/>
      <c r="B93" s="2"/>
      <c r="C93" s="2"/>
      <c r="D93" s="2"/>
      <c r="E93" s="2"/>
      <c r="F93" s="2"/>
      <c r="G93" s="2"/>
      <c r="H93" s="2"/>
      <c r="I93" s="15"/>
      <c r="J93" s="15"/>
      <c r="K93" s="15"/>
      <c r="L93" s="15"/>
      <c r="M93" s="15"/>
      <c r="N93" s="20"/>
      <c r="O93" s="20"/>
      <c r="P93" s="20"/>
      <c r="S93" s="19"/>
    </row>
    <row r="94" spans="1:36" x14ac:dyDescent="0.2">
      <c r="A94" s="3"/>
      <c r="B94" s="223"/>
      <c r="C94" s="382" t="s">
        <v>106</v>
      </c>
      <c r="D94" s="382" t="s">
        <v>107</v>
      </c>
      <c r="E94" s="382" t="s">
        <v>108</v>
      </c>
      <c r="F94" s="382" t="s">
        <v>109</v>
      </c>
      <c r="G94" s="382" t="s">
        <v>121</v>
      </c>
      <c r="H94" s="382" t="s">
        <v>122</v>
      </c>
      <c r="I94" s="382" t="s">
        <v>123</v>
      </c>
      <c r="J94" s="382" t="s">
        <v>124</v>
      </c>
      <c r="K94" s="382" t="s">
        <v>125</v>
      </c>
      <c r="L94" s="382" t="s">
        <v>126</v>
      </c>
      <c r="M94" s="382" t="s">
        <v>127</v>
      </c>
      <c r="N94" s="383" t="s">
        <v>288</v>
      </c>
      <c r="O94" s="20"/>
      <c r="P94" s="20"/>
      <c r="S94" s="19"/>
    </row>
    <row r="95" spans="1:36" ht="15" customHeight="1" x14ac:dyDescent="0.2">
      <c r="A95" s="3"/>
      <c r="B95" s="384" t="s">
        <v>368</v>
      </c>
      <c r="C95" s="366">
        <v>0</v>
      </c>
      <c r="D95" s="366">
        <v>7866505</v>
      </c>
      <c r="E95" s="366">
        <v>7866505</v>
      </c>
      <c r="F95" s="366">
        <v>7866505</v>
      </c>
      <c r="G95" s="366">
        <v>12827440</v>
      </c>
      <c r="H95" s="366">
        <v>4197759</v>
      </c>
      <c r="I95" s="366">
        <v>5454984</v>
      </c>
      <c r="J95" s="366"/>
      <c r="K95" s="366"/>
      <c r="L95" s="366"/>
      <c r="M95" s="366"/>
      <c r="N95" s="479"/>
      <c r="O95" s="20"/>
      <c r="P95" s="20"/>
      <c r="S95" s="19"/>
    </row>
    <row r="96" spans="1:36" ht="15" customHeight="1" x14ac:dyDescent="0.2">
      <c r="A96" s="3"/>
      <c r="B96" s="384" t="s">
        <v>365</v>
      </c>
      <c r="C96" s="366">
        <v>0</v>
      </c>
      <c r="D96" s="366"/>
      <c r="E96" s="366"/>
      <c r="F96" s="366"/>
      <c r="G96" s="366"/>
      <c r="H96" s="366"/>
      <c r="I96" s="366"/>
      <c r="J96" s="366"/>
      <c r="K96" s="366"/>
      <c r="L96" s="366"/>
      <c r="M96" s="366"/>
      <c r="N96" s="479"/>
      <c r="O96" s="20"/>
      <c r="P96" s="20"/>
      <c r="S96" s="19"/>
    </row>
    <row r="97" spans="1:19" ht="15" customHeight="1" x14ac:dyDescent="0.2">
      <c r="A97" s="3"/>
      <c r="B97" s="384" t="s">
        <v>313</v>
      </c>
      <c r="C97" s="366">
        <v>0</v>
      </c>
      <c r="D97" s="366">
        <v>7866505</v>
      </c>
      <c r="E97" s="366">
        <v>7866505</v>
      </c>
      <c r="F97" s="366">
        <v>7866505</v>
      </c>
      <c r="G97" s="366">
        <v>6193448.8799999999</v>
      </c>
      <c r="H97" s="366">
        <v>8393007.1899999995</v>
      </c>
      <c r="I97" s="366">
        <v>4487154.79</v>
      </c>
      <c r="J97" s="366"/>
      <c r="K97" s="366"/>
      <c r="L97" s="366"/>
      <c r="M97" s="366"/>
      <c r="N97" s="479"/>
      <c r="O97" s="20"/>
      <c r="P97" s="20"/>
      <c r="S97" s="19"/>
    </row>
    <row r="98" spans="1:19" ht="15" customHeight="1" x14ac:dyDescent="0.2">
      <c r="A98" s="3"/>
      <c r="B98" s="322" t="s">
        <v>410</v>
      </c>
      <c r="C98" s="367">
        <f>+C95</f>
        <v>0</v>
      </c>
      <c r="D98" s="367">
        <f t="shared" ref="D98:N98" si="3">+C98+D95</f>
        <v>7866505</v>
      </c>
      <c r="E98" s="367">
        <f>+D98+E95</f>
        <v>15733010</v>
      </c>
      <c r="F98" s="367">
        <f t="shared" si="3"/>
        <v>23599515</v>
      </c>
      <c r="G98" s="367">
        <f t="shared" si="3"/>
        <v>36426955</v>
      </c>
      <c r="H98" s="367">
        <f t="shared" si="3"/>
        <v>40624714</v>
      </c>
      <c r="I98" s="367">
        <f t="shared" si="3"/>
        <v>46079698</v>
      </c>
      <c r="J98" s="367">
        <f t="shared" si="3"/>
        <v>46079698</v>
      </c>
      <c r="K98" s="367">
        <f t="shared" si="3"/>
        <v>46079698</v>
      </c>
      <c r="L98" s="367">
        <f t="shared" si="3"/>
        <v>46079698</v>
      </c>
      <c r="M98" s="367">
        <f t="shared" si="3"/>
        <v>46079698</v>
      </c>
      <c r="N98" s="480">
        <f t="shared" si="3"/>
        <v>46079698</v>
      </c>
      <c r="O98" s="20"/>
      <c r="P98" s="20"/>
      <c r="S98" s="19"/>
    </row>
    <row r="99" spans="1:19" ht="15" customHeight="1" x14ac:dyDescent="0.2">
      <c r="A99" s="3"/>
      <c r="B99" s="322" t="s">
        <v>5</v>
      </c>
      <c r="C99" s="367">
        <f>+C96</f>
        <v>0</v>
      </c>
      <c r="D99" s="367">
        <f t="shared" ref="D99:N99" si="4">+C99+D96</f>
        <v>0</v>
      </c>
      <c r="E99" s="367">
        <f>+D99+E96</f>
        <v>0</v>
      </c>
      <c r="F99" s="367">
        <f t="shared" si="4"/>
        <v>0</v>
      </c>
      <c r="G99" s="367">
        <f t="shared" si="4"/>
        <v>0</v>
      </c>
      <c r="H99" s="367">
        <f t="shared" si="4"/>
        <v>0</v>
      </c>
      <c r="I99" s="367">
        <f t="shared" si="4"/>
        <v>0</v>
      </c>
      <c r="J99" s="367">
        <f t="shared" si="4"/>
        <v>0</v>
      </c>
      <c r="K99" s="367">
        <f t="shared" si="4"/>
        <v>0</v>
      </c>
      <c r="L99" s="367">
        <f t="shared" si="4"/>
        <v>0</v>
      </c>
      <c r="M99" s="367">
        <f t="shared" si="4"/>
        <v>0</v>
      </c>
      <c r="N99" s="480">
        <f t="shared" si="4"/>
        <v>0</v>
      </c>
      <c r="O99" s="20"/>
      <c r="P99" s="20"/>
      <c r="S99" s="19"/>
    </row>
    <row r="100" spans="1:19" ht="16" thickBot="1" x14ac:dyDescent="0.25">
      <c r="A100" s="3"/>
      <c r="B100" s="475" t="s">
        <v>6</v>
      </c>
      <c r="C100" s="476">
        <f>+C97</f>
        <v>0</v>
      </c>
      <c r="D100" s="477">
        <f t="shared" ref="D100:N100" si="5">+C100+D97</f>
        <v>7866505</v>
      </c>
      <c r="E100" s="477">
        <f>+D100+E97</f>
        <v>15733010</v>
      </c>
      <c r="F100" s="477">
        <f t="shared" si="5"/>
        <v>23599515</v>
      </c>
      <c r="G100" s="477">
        <f t="shared" si="5"/>
        <v>29792963.879999999</v>
      </c>
      <c r="H100" s="477">
        <f t="shared" si="5"/>
        <v>38185971.07</v>
      </c>
      <c r="I100" s="477">
        <f t="shared" si="5"/>
        <v>42673125.859999999</v>
      </c>
      <c r="J100" s="477">
        <f t="shared" si="5"/>
        <v>42673125.859999999</v>
      </c>
      <c r="K100" s="477">
        <f t="shared" si="5"/>
        <v>42673125.859999999</v>
      </c>
      <c r="L100" s="477">
        <f t="shared" si="5"/>
        <v>42673125.859999999</v>
      </c>
      <c r="M100" s="477">
        <f t="shared" si="5"/>
        <v>42673125.859999999</v>
      </c>
      <c r="N100" s="481">
        <f t="shared" si="5"/>
        <v>42673125.859999999</v>
      </c>
      <c r="O100" s="20"/>
      <c r="P100" s="20"/>
      <c r="S100" s="19"/>
    </row>
    <row r="101" spans="1:19" x14ac:dyDescent="0.2">
      <c r="A101" s="3"/>
      <c r="B101" s="3"/>
      <c r="C101" s="2"/>
      <c r="D101" s="2"/>
      <c r="E101" s="2"/>
      <c r="F101" s="2"/>
      <c r="G101" s="2"/>
      <c r="H101" s="2"/>
      <c r="I101" s="15"/>
      <c r="J101" s="126"/>
      <c r="K101" s="127"/>
      <c r="L101" s="15"/>
      <c r="M101" s="128"/>
      <c r="N101" s="20"/>
      <c r="O101" s="20"/>
      <c r="P101" s="20"/>
      <c r="S101" s="19"/>
    </row>
    <row r="102" spans="1:19" x14ac:dyDescent="0.2">
      <c r="A102" s="3"/>
      <c r="B102" s="2" t="s">
        <v>404</v>
      </c>
      <c r="C102" s="2"/>
      <c r="D102" s="2"/>
      <c r="E102" s="2"/>
      <c r="F102" s="2"/>
      <c r="G102" s="2"/>
      <c r="H102" s="2"/>
      <c r="I102" s="15"/>
      <c r="J102" s="126"/>
      <c r="K102" s="127"/>
      <c r="L102" s="15"/>
      <c r="M102" s="128"/>
      <c r="N102" s="20"/>
      <c r="O102" s="20"/>
      <c r="P102" s="20"/>
      <c r="S102" s="19"/>
    </row>
    <row r="103" spans="1:19" x14ac:dyDescent="0.2">
      <c r="A103" s="3"/>
      <c r="C103" s="2"/>
      <c r="D103" s="2"/>
      <c r="E103" s="2"/>
      <c r="F103" s="2"/>
      <c r="G103" s="2"/>
      <c r="H103" s="2"/>
      <c r="I103" s="15"/>
      <c r="J103" s="126"/>
      <c r="K103" s="128"/>
      <c r="L103" s="15"/>
      <c r="M103" s="128"/>
      <c r="N103" s="20"/>
      <c r="O103" s="20"/>
      <c r="P103" s="20"/>
      <c r="S103" s="19"/>
    </row>
    <row r="104" spans="1:19" x14ac:dyDescent="0.2">
      <c r="A104" s="3"/>
      <c r="B104" s="3"/>
      <c r="C104" s="3"/>
      <c r="D104" s="3"/>
      <c r="E104" s="3"/>
      <c r="F104" s="3"/>
      <c r="G104" s="3"/>
      <c r="H104" s="3"/>
      <c r="I104" s="15"/>
      <c r="J104" s="15"/>
      <c r="K104" s="15"/>
      <c r="L104" s="15"/>
      <c r="M104" s="15"/>
      <c r="N104" s="20"/>
      <c r="O104" s="20"/>
      <c r="P104" s="20"/>
    </row>
    <row r="105" spans="1:19" ht="19" x14ac:dyDescent="0.25">
      <c r="A105" s="3"/>
      <c r="B105" s="110" t="s">
        <v>385</v>
      </c>
      <c r="C105" s="3"/>
      <c r="D105" s="3"/>
      <c r="E105" s="3"/>
      <c r="F105" s="3"/>
      <c r="G105" s="3"/>
      <c r="H105" s="3"/>
      <c r="I105" s="15"/>
      <c r="J105" s="15"/>
      <c r="K105" s="15"/>
      <c r="L105" s="15"/>
      <c r="M105" s="15"/>
      <c r="N105" s="20"/>
      <c r="O105" s="20"/>
      <c r="P105" s="20"/>
    </row>
    <row r="106" spans="1:19" ht="16" thickBot="1" x14ac:dyDescent="0.25">
      <c r="A106" s="3"/>
      <c r="B106" s="3"/>
      <c r="C106" s="15"/>
      <c r="D106" s="15"/>
      <c r="E106" s="15"/>
      <c r="F106" s="15"/>
      <c r="G106" s="2"/>
      <c r="H106" s="2"/>
      <c r="I106" s="2"/>
      <c r="J106" s="15"/>
      <c r="K106" s="2"/>
      <c r="L106" s="15"/>
      <c r="M106" s="15"/>
      <c r="N106" s="20"/>
      <c r="O106" s="20"/>
      <c r="P106" s="20"/>
      <c r="Q106" s="19"/>
      <c r="S106" s="20"/>
    </row>
    <row r="107" spans="1:19" ht="90.75" customHeight="1" x14ac:dyDescent="0.2">
      <c r="A107" s="3"/>
      <c r="B107" s="323" t="s">
        <v>33</v>
      </c>
      <c r="C107" s="324" t="s">
        <v>80</v>
      </c>
      <c r="D107" s="326" t="s">
        <v>367</v>
      </c>
      <c r="E107" s="326" t="s">
        <v>336</v>
      </c>
      <c r="F107" s="325" t="s">
        <v>337</v>
      </c>
      <c r="G107" s="325" t="s">
        <v>338</v>
      </c>
      <c r="H107" s="326" t="s">
        <v>339</v>
      </c>
      <c r="I107" s="326" t="s">
        <v>340</v>
      </c>
      <c r="J107" s="326" t="s">
        <v>341</v>
      </c>
      <c r="K107" s="327" t="s">
        <v>342</v>
      </c>
      <c r="L107" s="2"/>
      <c r="M107" s="20"/>
      <c r="N107" s="20"/>
      <c r="O107" s="20"/>
      <c r="P107" s="19"/>
      <c r="R107" s="20"/>
    </row>
    <row r="108" spans="1:19" x14ac:dyDescent="0.2">
      <c r="A108" s="3"/>
      <c r="B108" s="672" t="s">
        <v>373</v>
      </c>
      <c r="C108" s="416" t="s">
        <v>373</v>
      </c>
      <c r="D108" s="417"/>
      <c r="E108" s="418" t="str">
        <f>IF(ISBLANK(D108),"",D108*30)</f>
        <v/>
      </c>
      <c r="F108" s="368"/>
      <c r="G108" s="369" t="str">
        <f>IF(AND(E108&gt;0,F108&gt;0),(F108*E108),"")</f>
        <v/>
      </c>
      <c r="H108" s="368"/>
      <c r="I108" s="434" t="str">
        <f>IF(AND(G108&gt;0,H108&gt;0),H108/G108,"")</f>
        <v/>
      </c>
      <c r="J108" s="419"/>
      <c r="K108" s="482" t="str">
        <f>IF(AND(I108&gt;0,J108&gt;0),I108-J108,"")</f>
        <v/>
      </c>
      <c r="L108" s="2"/>
      <c r="M108" s="20"/>
      <c r="N108" s="20"/>
      <c r="O108" s="20"/>
      <c r="P108" s="19"/>
      <c r="R108" s="20"/>
    </row>
    <row r="109" spans="1:19" x14ac:dyDescent="0.2">
      <c r="A109" s="3"/>
      <c r="B109" s="673"/>
      <c r="C109" s="416" t="s">
        <v>373</v>
      </c>
      <c r="D109" s="417"/>
      <c r="E109" s="418" t="str">
        <f>IF(ISBLANK(D109),"",D109*30)</f>
        <v/>
      </c>
      <c r="F109" s="368"/>
      <c r="G109" s="369" t="str">
        <f>IF(AND(E109&gt;0,F109&gt;0),(F109*E109),"")</f>
        <v/>
      </c>
      <c r="H109" s="368"/>
      <c r="I109" s="434" t="str">
        <f>IF(AND(G109&gt;0,H109&gt;0),H109/G109,"")</f>
        <v/>
      </c>
      <c r="J109" s="419"/>
      <c r="K109" s="482" t="str">
        <f>IF(AND(I109&gt;0,J109&gt;0),I109-J109,"")</f>
        <v/>
      </c>
      <c r="L109" s="2"/>
      <c r="M109" s="20"/>
      <c r="N109" s="20"/>
      <c r="O109" s="20"/>
      <c r="P109" s="19"/>
    </row>
    <row r="110" spans="1:19" x14ac:dyDescent="0.2">
      <c r="A110" s="3"/>
      <c r="B110" s="673"/>
      <c r="C110" s="416" t="s">
        <v>373</v>
      </c>
      <c r="D110" s="417"/>
      <c r="E110" s="418" t="str">
        <f>IF(ISBLANK(D110),"",D110*30)</f>
        <v/>
      </c>
      <c r="F110" s="368"/>
      <c r="G110" s="369" t="str">
        <f>IF(AND(E110&gt;0,F110&gt;0),(F110*E110),"")</f>
        <v/>
      </c>
      <c r="H110" s="368"/>
      <c r="I110" s="434" t="str">
        <f>IF(AND(G110&gt;0,H110&gt;0),H110/G110,"")</f>
        <v/>
      </c>
      <c r="J110" s="419"/>
      <c r="K110" s="482" t="str">
        <f>IF(AND(I110&gt;0,J110&gt;0),I110-J110,"")</f>
        <v/>
      </c>
      <c r="L110" s="2"/>
      <c r="M110" s="20"/>
      <c r="N110" s="20"/>
      <c r="O110" s="20"/>
      <c r="P110" s="19"/>
      <c r="R110" s="20"/>
    </row>
    <row r="111" spans="1:19" ht="16" thickBot="1" x14ac:dyDescent="0.25">
      <c r="A111" s="3"/>
      <c r="B111" s="674"/>
      <c r="C111" s="420" t="s">
        <v>373</v>
      </c>
      <c r="D111" s="421"/>
      <c r="E111" s="472" t="str">
        <f>IF(ISBLANK(D111),"",D111*30)</f>
        <v/>
      </c>
      <c r="F111" s="370"/>
      <c r="G111" s="473" t="str">
        <f>IF(AND(E111&gt;0,F111&gt;0),(F111*E111),"")</f>
        <v/>
      </c>
      <c r="H111" s="370"/>
      <c r="I111" s="474" t="str">
        <f>IF(AND(G111&gt;0,H111&gt;0),H111/G111,"")</f>
        <v/>
      </c>
      <c r="J111" s="422"/>
      <c r="K111" s="483" t="str">
        <f>IF(AND(I111&gt;0,J111&gt;0),I111-J111,"")</f>
        <v/>
      </c>
      <c r="L111" s="2"/>
      <c r="M111" s="20"/>
      <c r="N111" s="20"/>
      <c r="O111" s="20"/>
      <c r="P111" s="19"/>
      <c r="R111" s="20"/>
    </row>
    <row r="112" spans="1:19" x14ac:dyDescent="0.2">
      <c r="A112" s="3"/>
      <c r="B112" s="3"/>
      <c r="C112" s="3"/>
      <c r="D112" s="3"/>
      <c r="E112" s="3"/>
      <c r="F112" s="3"/>
      <c r="G112" s="2"/>
      <c r="H112" s="2"/>
      <c r="I112" s="2"/>
      <c r="J112" s="3"/>
      <c r="K112" s="3"/>
      <c r="L112" s="2"/>
      <c r="M112" s="2"/>
      <c r="N112" s="20"/>
      <c r="O112" s="20"/>
      <c r="P112" s="20"/>
      <c r="Q112" s="19"/>
      <c r="S112" s="20"/>
    </row>
    <row r="113" spans="1:20" ht="16" thickBot="1" x14ac:dyDescent="0.25">
      <c r="A113" s="3"/>
      <c r="B113" s="3"/>
      <c r="C113" s="3"/>
      <c r="D113" s="3"/>
      <c r="E113" s="3"/>
      <c r="F113" s="3"/>
      <c r="G113" s="3"/>
      <c r="H113" s="3"/>
      <c r="I113" s="2"/>
      <c r="J113" s="109"/>
      <c r="K113" s="109"/>
      <c r="L113" s="3"/>
      <c r="M113" s="3"/>
    </row>
    <row r="114" spans="1:20" ht="23" customHeight="1" thickBot="1" x14ac:dyDescent="0.3">
      <c r="A114" s="3"/>
      <c r="B114" s="243" t="s">
        <v>392</v>
      </c>
      <c r="C114" s="129"/>
      <c r="D114" s="129"/>
      <c r="E114" s="130"/>
      <c r="F114" s="130"/>
      <c r="G114" s="130"/>
      <c r="H114" s="258"/>
      <c r="I114" s="244"/>
      <c r="J114" s="344"/>
      <c r="K114" s="345" t="s">
        <v>371</v>
      </c>
      <c r="L114" s="130"/>
      <c r="M114" s="346"/>
      <c r="N114" s="347"/>
      <c r="O114" s="347"/>
      <c r="P114" s="424"/>
      <c r="Q114" s="36"/>
    </row>
    <row r="115" spans="1:20" ht="16" thickBot="1" x14ac:dyDescent="0.25">
      <c r="A115" s="3"/>
      <c r="B115" s="3"/>
      <c r="C115" s="3"/>
      <c r="D115" s="3"/>
      <c r="E115" s="3"/>
      <c r="F115" s="3"/>
      <c r="G115" s="3"/>
      <c r="H115" s="3" t="s">
        <v>425</v>
      </c>
      <c r="I115" s="3" t="s">
        <v>423</v>
      </c>
      <c r="J115" s="3" t="s">
        <v>426</v>
      </c>
      <c r="K115" s="3" t="s">
        <v>424</v>
      </c>
      <c r="L115" s="3" t="s">
        <v>427</v>
      </c>
      <c r="M115" s="3" t="s">
        <v>428</v>
      </c>
      <c r="N115" t="s">
        <v>429</v>
      </c>
      <c r="O115" t="s">
        <v>430</v>
      </c>
      <c r="P115" s="36" t="s">
        <v>431</v>
      </c>
      <c r="Q115" s="36" t="s">
        <v>432</v>
      </c>
      <c r="R115" t="s">
        <v>433</v>
      </c>
      <c r="S115" t="s">
        <v>434</v>
      </c>
    </row>
    <row r="116" spans="1:20" x14ac:dyDescent="0.2">
      <c r="A116" s="3"/>
      <c r="B116" s="719" t="s">
        <v>398</v>
      </c>
      <c r="C116" s="720"/>
      <c r="D116" s="721"/>
      <c r="E116" s="330" t="s">
        <v>327</v>
      </c>
      <c r="F116" s="285" t="s">
        <v>344</v>
      </c>
      <c r="G116" s="248"/>
      <c r="H116" s="399" t="s">
        <v>106</v>
      </c>
      <c r="I116" s="399" t="s">
        <v>107</v>
      </c>
      <c r="J116" s="399" t="s">
        <v>108</v>
      </c>
      <c r="K116" s="399" t="s">
        <v>109</v>
      </c>
      <c r="L116" s="399" t="s">
        <v>121</v>
      </c>
      <c r="M116" s="399" t="s">
        <v>122</v>
      </c>
      <c r="N116" s="399" t="s">
        <v>123</v>
      </c>
      <c r="O116" s="399" t="s">
        <v>124</v>
      </c>
      <c r="P116" s="399" t="s">
        <v>125</v>
      </c>
      <c r="Q116" s="399" t="s">
        <v>126</v>
      </c>
      <c r="R116" s="399" t="s">
        <v>127</v>
      </c>
      <c r="S116" s="400" t="s">
        <v>288</v>
      </c>
      <c r="T116" s="64"/>
    </row>
    <row r="117" spans="1:20" ht="1.5" customHeight="1" x14ac:dyDescent="0.2">
      <c r="A117" s="3"/>
      <c r="B117" s="450"/>
      <c r="C117" s="451"/>
      <c r="D117" s="451"/>
      <c r="E117" s="452"/>
      <c r="F117" s="453"/>
      <c r="G117" s="454"/>
      <c r="H117" s="455"/>
      <c r="I117" s="455"/>
      <c r="J117" s="455"/>
      <c r="K117" s="455"/>
      <c r="L117" s="455"/>
      <c r="M117" s="455"/>
      <c r="N117" s="455"/>
      <c r="O117" s="455"/>
      <c r="P117" s="455"/>
      <c r="Q117" s="455"/>
      <c r="R117" s="455"/>
      <c r="S117" s="456"/>
      <c r="T117" s="64"/>
    </row>
    <row r="118" spans="1:20" ht="15" customHeight="1" x14ac:dyDescent="0.2">
      <c r="A118" s="704" t="s">
        <v>375</v>
      </c>
      <c r="B118" s="708" t="s">
        <v>414</v>
      </c>
      <c r="C118" s="709"/>
      <c r="D118" s="710"/>
      <c r="E118" s="632"/>
      <c r="F118" s="633" t="s">
        <v>422</v>
      </c>
      <c r="G118" s="249" t="s">
        <v>86</v>
      </c>
      <c r="H118" s="488">
        <v>0.8</v>
      </c>
      <c r="I118" s="488">
        <v>0.8</v>
      </c>
      <c r="J118" s="488">
        <v>0.8</v>
      </c>
      <c r="K118" s="503">
        <v>0.8</v>
      </c>
      <c r="L118" s="503">
        <v>0.61299999999999999</v>
      </c>
      <c r="M118" s="513">
        <v>0.61299999999999999</v>
      </c>
      <c r="N118" s="513">
        <v>0.61299999999999999</v>
      </c>
      <c r="O118" s="133"/>
      <c r="P118" s="133"/>
      <c r="Q118" s="133"/>
      <c r="R118" s="133"/>
      <c r="S118" s="134"/>
      <c r="T118" s="64"/>
    </row>
    <row r="119" spans="1:20" x14ac:dyDescent="0.2">
      <c r="A119" s="704"/>
      <c r="B119" s="711"/>
      <c r="C119" s="712"/>
      <c r="D119" s="713"/>
      <c r="E119" s="632"/>
      <c r="F119" s="634"/>
      <c r="G119" s="249" t="s">
        <v>87</v>
      </c>
      <c r="H119" s="488">
        <v>0.79900000000000004</v>
      </c>
      <c r="I119" s="488">
        <v>0.59499999999999997</v>
      </c>
      <c r="J119" s="488">
        <v>0.57999999999999996</v>
      </c>
      <c r="K119" s="503">
        <v>0.56999999999999995</v>
      </c>
      <c r="L119" s="503">
        <v>0.53500000000000003</v>
      </c>
      <c r="M119" s="513">
        <v>0.53500000000000003</v>
      </c>
      <c r="N119" s="513">
        <v>0.56299999999999994</v>
      </c>
      <c r="O119" s="133"/>
      <c r="P119" s="133"/>
      <c r="Q119" s="133"/>
      <c r="R119" s="133"/>
      <c r="S119" s="134"/>
      <c r="T119" s="64"/>
    </row>
    <row r="120" spans="1:20" ht="15" customHeight="1" x14ac:dyDescent="0.2">
      <c r="A120" s="704"/>
      <c r="B120" s="647" t="s">
        <v>415</v>
      </c>
      <c r="C120" s="648"/>
      <c r="D120" s="649"/>
      <c r="E120" s="637"/>
      <c r="F120" s="635" t="s">
        <v>422</v>
      </c>
      <c r="G120" s="461" t="s">
        <v>86</v>
      </c>
      <c r="H120" s="489">
        <v>0.55000000000000004</v>
      </c>
      <c r="I120" s="489">
        <v>0.55000000000000004</v>
      </c>
      <c r="J120" s="489">
        <v>0.55000000000000004</v>
      </c>
      <c r="K120" s="502">
        <v>0.55000000000000004</v>
      </c>
      <c r="L120" s="502">
        <v>0.60699999999999998</v>
      </c>
      <c r="M120" s="514">
        <v>0.60699999999999998</v>
      </c>
      <c r="N120" s="514">
        <v>0.60699999999999998</v>
      </c>
      <c r="O120" s="245"/>
      <c r="P120" s="245"/>
      <c r="Q120" s="245"/>
      <c r="R120" s="245"/>
      <c r="S120" s="328"/>
      <c r="T120" s="64"/>
    </row>
    <row r="121" spans="1:20" x14ac:dyDescent="0.2">
      <c r="A121" s="704"/>
      <c r="B121" s="647"/>
      <c r="C121" s="648"/>
      <c r="D121" s="649"/>
      <c r="E121" s="637"/>
      <c r="F121" s="636"/>
      <c r="G121" s="461" t="s">
        <v>87</v>
      </c>
      <c r="H121" s="489">
        <v>0.39200000000000002</v>
      </c>
      <c r="I121" s="489">
        <v>0.42</v>
      </c>
      <c r="J121" s="489">
        <v>0.51249999999999996</v>
      </c>
      <c r="K121" s="502">
        <v>0.41</v>
      </c>
      <c r="L121" s="502">
        <v>0.36699999999999999</v>
      </c>
      <c r="M121" s="514">
        <v>0.35699999999999998</v>
      </c>
      <c r="N121" s="514">
        <v>0.40300000000000002</v>
      </c>
      <c r="O121" s="329"/>
      <c r="P121" s="245"/>
      <c r="Q121" s="245"/>
      <c r="R121" s="245"/>
      <c r="S121" s="328"/>
      <c r="T121" s="64"/>
    </row>
    <row r="122" spans="1:20" ht="15" customHeight="1" x14ac:dyDescent="0.2">
      <c r="A122" s="704"/>
      <c r="B122" s="711" t="s">
        <v>416</v>
      </c>
      <c r="C122" s="712"/>
      <c r="D122" s="713"/>
      <c r="E122" s="632"/>
      <c r="F122" s="633" t="s">
        <v>422</v>
      </c>
      <c r="G122" s="249" t="s">
        <v>86</v>
      </c>
      <c r="H122" s="133">
        <v>2692264</v>
      </c>
      <c r="I122" s="133">
        <v>2692264</v>
      </c>
      <c r="J122" s="133">
        <v>5913034</v>
      </c>
      <c r="K122" s="501">
        <v>5913034</v>
      </c>
      <c r="L122" s="507">
        <v>1814467</v>
      </c>
      <c r="M122" s="133">
        <v>1814467</v>
      </c>
      <c r="N122" s="133">
        <v>2331644</v>
      </c>
      <c r="O122" s="133"/>
      <c r="P122" s="133"/>
      <c r="Q122" s="133"/>
      <c r="R122" s="133"/>
      <c r="S122" s="134"/>
      <c r="T122" s="64"/>
    </row>
    <row r="123" spans="1:20" x14ac:dyDescent="0.2">
      <c r="A123" s="704"/>
      <c r="B123" s="711"/>
      <c r="C123" s="712"/>
      <c r="D123" s="713"/>
      <c r="E123" s="632"/>
      <c r="F123" s="634"/>
      <c r="G123" s="249" t="s">
        <v>87</v>
      </c>
      <c r="H123" s="133">
        <v>0</v>
      </c>
      <c r="I123" s="133">
        <v>2942234</v>
      </c>
      <c r="J123" s="133">
        <v>252723</v>
      </c>
      <c r="K123" s="501">
        <v>5129002</v>
      </c>
      <c r="L123" s="508">
        <v>1811109</v>
      </c>
      <c r="M123" s="504">
        <v>1762766</v>
      </c>
      <c r="N123" s="504">
        <v>2440710</v>
      </c>
      <c r="O123" s="133"/>
      <c r="P123" s="133"/>
      <c r="Q123" s="133"/>
      <c r="R123" s="133"/>
      <c r="S123" s="134"/>
      <c r="T123" s="64"/>
    </row>
    <row r="124" spans="1:20" ht="15" customHeight="1" x14ac:dyDescent="0.2">
      <c r="A124" s="3"/>
      <c r="B124" s="647" t="s">
        <v>417</v>
      </c>
      <c r="C124" s="648"/>
      <c r="D124" s="649"/>
      <c r="E124" s="637"/>
      <c r="F124" s="675" t="s">
        <v>422</v>
      </c>
      <c r="G124" s="461" t="s">
        <v>86</v>
      </c>
      <c r="H124" s="490">
        <v>0.92800000000000005</v>
      </c>
      <c r="I124" s="490">
        <v>0.92800000000000005</v>
      </c>
      <c r="J124" s="490">
        <v>0.96499999999999997</v>
      </c>
      <c r="K124" s="500">
        <v>0.96499999999999997</v>
      </c>
      <c r="L124" s="502">
        <v>0.75</v>
      </c>
      <c r="M124" s="514">
        <v>0.75</v>
      </c>
      <c r="N124" s="514">
        <v>0.89700000000000002</v>
      </c>
      <c r="O124" s="245"/>
      <c r="P124" s="245"/>
      <c r="Q124" s="245"/>
      <c r="R124" s="245"/>
      <c r="S124" s="328"/>
      <c r="T124" s="64"/>
    </row>
    <row r="125" spans="1:20" x14ac:dyDescent="0.2">
      <c r="A125" s="3"/>
      <c r="B125" s="647"/>
      <c r="C125" s="648"/>
      <c r="D125" s="649"/>
      <c r="E125" s="637"/>
      <c r="F125" s="636"/>
      <c r="G125" s="461" t="s">
        <v>87</v>
      </c>
      <c r="H125" s="490">
        <v>0</v>
      </c>
      <c r="I125" s="490">
        <v>0.97099999999999997</v>
      </c>
      <c r="J125" s="490">
        <v>0</v>
      </c>
      <c r="K125" s="500">
        <v>0.9</v>
      </c>
      <c r="L125" s="502">
        <v>0.75</v>
      </c>
      <c r="M125" s="514">
        <v>0.747</v>
      </c>
      <c r="N125" s="514">
        <v>0.90069999999999995</v>
      </c>
      <c r="O125" s="245"/>
      <c r="P125" s="245"/>
      <c r="Q125" s="245"/>
      <c r="R125" s="245"/>
      <c r="S125" s="328"/>
      <c r="T125" s="64"/>
    </row>
    <row r="126" spans="1:20" ht="15" customHeight="1" x14ac:dyDescent="0.2">
      <c r="A126" s="3"/>
      <c r="B126" s="663" t="s">
        <v>418</v>
      </c>
      <c r="C126" s="664"/>
      <c r="D126" s="665"/>
      <c r="E126" s="632"/>
      <c r="F126" s="633" t="s">
        <v>115</v>
      </c>
      <c r="G126" s="462" t="s">
        <v>86</v>
      </c>
      <c r="H126" s="491">
        <v>0.7</v>
      </c>
      <c r="I126" s="491">
        <v>0.7</v>
      </c>
      <c r="J126" s="491">
        <v>0.75</v>
      </c>
      <c r="K126" s="499">
        <v>0.75</v>
      </c>
      <c r="L126" s="499">
        <v>0.75</v>
      </c>
      <c r="M126" s="515">
        <v>0.75</v>
      </c>
      <c r="N126" s="515">
        <v>0.75</v>
      </c>
      <c r="O126" s="463"/>
      <c r="P126" s="463"/>
      <c r="Q126" s="463"/>
      <c r="R126" s="463"/>
      <c r="S126" s="464"/>
      <c r="T126" s="64"/>
    </row>
    <row r="127" spans="1:20" x14ac:dyDescent="0.2">
      <c r="A127" s="3"/>
      <c r="B127" s="663"/>
      <c r="C127" s="664"/>
      <c r="D127" s="665"/>
      <c r="E127" s="632"/>
      <c r="F127" s="634"/>
      <c r="G127" s="462" t="s">
        <v>87</v>
      </c>
      <c r="H127" s="491">
        <v>0.90600000000000003</v>
      </c>
      <c r="I127" s="491">
        <v>0.70960000000000001</v>
      </c>
      <c r="J127" s="491">
        <v>0.72699999999999998</v>
      </c>
      <c r="K127" s="499">
        <v>0.74</v>
      </c>
      <c r="L127" s="499">
        <v>0.753</v>
      </c>
      <c r="M127" s="515">
        <v>0.77200000000000002</v>
      </c>
      <c r="N127" s="515">
        <v>0.79</v>
      </c>
      <c r="O127" s="463"/>
      <c r="P127" s="463"/>
      <c r="Q127" s="463"/>
      <c r="R127" s="463"/>
      <c r="S127" s="464"/>
      <c r="T127" s="64"/>
    </row>
    <row r="128" spans="1:20" ht="15" customHeight="1" x14ac:dyDescent="0.2">
      <c r="A128" s="3"/>
      <c r="B128" s="647" t="s">
        <v>419</v>
      </c>
      <c r="C128" s="648"/>
      <c r="D128" s="649"/>
      <c r="E128" s="637"/>
      <c r="F128" s="675" t="s">
        <v>422</v>
      </c>
      <c r="G128" s="461" t="s">
        <v>86</v>
      </c>
      <c r="H128" s="490">
        <v>0</v>
      </c>
      <c r="I128" s="490">
        <v>0</v>
      </c>
      <c r="J128" s="496">
        <v>0.86899999999999999</v>
      </c>
      <c r="K128" s="497">
        <v>0.87</v>
      </c>
      <c r="L128" s="509">
        <v>0</v>
      </c>
      <c r="M128" s="329">
        <v>0</v>
      </c>
      <c r="N128" s="506">
        <v>0.92</v>
      </c>
      <c r="O128" s="329"/>
      <c r="P128" s="329"/>
      <c r="Q128" s="329"/>
      <c r="R128" s="329"/>
      <c r="S128" s="465"/>
      <c r="T128" s="64"/>
    </row>
    <row r="129" spans="1:21" x14ac:dyDescent="0.2">
      <c r="A129" s="3"/>
      <c r="B129" s="647"/>
      <c r="C129" s="648"/>
      <c r="D129" s="649"/>
      <c r="E129" s="637"/>
      <c r="F129" s="636"/>
      <c r="G129" s="461" t="s">
        <v>87</v>
      </c>
      <c r="H129" s="490">
        <v>0</v>
      </c>
      <c r="I129" s="490">
        <v>0</v>
      </c>
      <c r="J129" s="496">
        <v>0</v>
      </c>
      <c r="K129" s="497">
        <v>0.79</v>
      </c>
      <c r="L129" s="510">
        <v>0</v>
      </c>
      <c r="M129" s="245">
        <v>0</v>
      </c>
      <c r="N129" s="506">
        <v>0.80100000000000005</v>
      </c>
      <c r="O129" s="245"/>
      <c r="P129" s="329"/>
      <c r="Q129" s="329"/>
      <c r="R129" s="329"/>
      <c r="S129" s="465"/>
      <c r="T129" s="64"/>
    </row>
    <row r="130" spans="1:21" x14ac:dyDescent="0.2">
      <c r="A130" s="3"/>
      <c r="B130" s="663" t="s">
        <v>420</v>
      </c>
      <c r="C130" s="664"/>
      <c r="D130" s="665"/>
      <c r="E130" s="632"/>
      <c r="F130" s="676" t="s">
        <v>115</v>
      </c>
      <c r="G130" s="462" t="s">
        <v>86</v>
      </c>
      <c r="H130" s="463">
        <v>52963</v>
      </c>
      <c r="I130" s="463">
        <v>105926</v>
      </c>
      <c r="J130" s="463">
        <v>185372</v>
      </c>
      <c r="K130" s="498">
        <v>264817</v>
      </c>
      <c r="L130" s="511" t="s">
        <v>467</v>
      </c>
      <c r="M130" s="463">
        <v>0</v>
      </c>
      <c r="N130" s="516">
        <v>1</v>
      </c>
      <c r="O130" s="463"/>
      <c r="P130" s="463"/>
      <c r="Q130" s="463"/>
      <c r="R130" s="463"/>
      <c r="S130" s="464"/>
      <c r="T130" s="64"/>
    </row>
    <row r="131" spans="1:21" x14ac:dyDescent="0.2">
      <c r="A131" s="3"/>
      <c r="B131" s="663"/>
      <c r="C131" s="664"/>
      <c r="D131" s="665"/>
      <c r="E131" s="632"/>
      <c r="F131" s="676"/>
      <c r="G131" s="462" t="s">
        <v>87</v>
      </c>
      <c r="H131" s="463">
        <v>28163</v>
      </c>
      <c r="I131" s="463">
        <v>59457</v>
      </c>
      <c r="J131" s="463">
        <v>101376</v>
      </c>
      <c r="K131" s="498">
        <v>153057</v>
      </c>
      <c r="L131" s="511" t="s">
        <v>467</v>
      </c>
      <c r="M131" s="463">
        <v>0</v>
      </c>
      <c r="N131" s="516">
        <v>1</v>
      </c>
      <c r="O131" s="463"/>
      <c r="P131" s="463"/>
      <c r="Q131" s="463"/>
      <c r="R131" s="463"/>
      <c r="S131" s="464"/>
      <c r="T131" s="64"/>
    </row>
    <row r="132" spans="1:21" ht="14.25" customHeight="1" x14ac:dyDescent="0.2">
      <c r="A132" s="3"/>
      <c r="B132" s="647" t="s">
        <v>421</v>
      </c>
      <c r="C132" s="648"/>
      <c r="D132" s="649"/>
      <c r="E132" s="637"/>
      <c r="F132" s="661" t="s">
        <v>115</v>
      </c>
      <c r="G132" s="461" t="s">
        <v>86</v>
      </c>
      <c r="H132" s="496">
        <v>1</v>
      </c>
      <c r="I132" s="496">
        <v>1</v>
      </c>
      <c r="J132" s="496">
        <v>1</v>
      </c>
      <c r="K132" s="497">
        <v>1</v>
      </c>
      <c r="L132" s="497">
        <v>1</v>
      </c>
      <c r="M132" s="506">
        <v>1</v>
      </c>
      <c r="N132" s="506">
        <v>1</v>
      </c>
      <c r="O132" s="329"/>
      <c r="P132" s="329"/>
      <c r="Q132" s="329"/>
      <c r="R132" s="329"/>
      <c r="S132" s="465"/>
      <c r="T132" s="64"/>
    </row>
    <row r="133" spans="1:21" x14ac:dyDescent="0.2">
      <c r="A133" s="3"/>
      <c r="B133" s="647"/>
      <c r="C133" s="648"/>
      <c r="D133" s="649"/>
      <c r="E133" s="637"/>
      <c r="F133" s="661"/>
      <c r="G133" s="461" t="s">
        <v>87</v>
      </c>
      <c r="H133" s="496">
        <v>1</v>
      </c>
      <c r="I133" s="496">
        <v>1</v>
      </c>
      <c r="J133" s="496">
        <v>1</v>
      </c>
      <c r="K133" s="497">
        <v>1</v>
      </c>
      <c r="L133" s="497">
        <v>1</v>
      </c>
      <c r="M133" s="506">
        <v>1</v>
      </c>
      <c r="N133" s="506">
        <v>1</v>
      </c>
      <c r="O133" s="329"/>
      <c r="P133" s="329"/>
      <c r="Q133" s="329"/>
      <c r="R133" s="329"/>
      <c r="S133" s="465"/>
      <c r="T133" s="64"/>
    </row>
    <row r="134" spans="1:21" ht="14.25" customHeight="1" x14ac:dyDescent="0.2">
      <c r="A134" s="3"/>
      <c r="B134" s="663"/>
      <c r="C134" s="664"/>
      <c r="D134" s="665"/>
      <c r="E134" s="632"/>
      <c r="F134" s="659" t="s">
        <v>115</v>
      </c>
      <c r="G134" s="462" t="s">
        <v>86</v>
      </c>
      <c r="H134" s="463"/>
      <c r="I134" s="463"/>
      <c r="J134" s="463"/>
      <c r="K134" s="463"/>
      <c r="L134" s="512"/>
      <c r="M134" s="463"/>
      <c r="N134" s="463"/>
      <c r="O134" s="463"/>
      <c r="P134" s="463"/>
      <c r="Q134" s="463"/>
      <c r="R134" s="463"/>
      <c r="S134" s="464"/>
      <c r="T134" s="64"/>
    </row>
    <row r="135" spans="1:21" x14ac:dyDescent="0.2">
      <c r="A135" s="3"/>
      <c r="B135" s="663"/>
      <c r="C135" s="664"/>
      <c r="D135" s="665"/>
      <c r="E135" s="632"/>
      <c r="F135" s="659"/>
      <c r="G135" s="462" t="s">
        <v>87</v>
      </c>
      <c r="H135" s="463"/>
      <c r="I135" s="463"/>
      <c r="J135" s="463"/>
      <c r="K135" s="463"/>
      <c r="L135" s="463"/>
      <c r="M135" s="463"/>
      <c r="N135" s="463"/>
      <c r="O135" s="463"/>
      <c r="P135" s="463"/>
      <c r="Q135" s="463"/>
      <c r="R135" s="463"/>
      <c r="S135" s="464"/>
      <c r="T135" s="64"/>
    </row>
    <row r="136" spans="1:21" ht="14.25" customHeight="1" x14ac:dyDescent="0.2">
      <c r="A136" s="3"/>
      <c r="B136" s="647"/>
      <c r="C136" s="648"/>
      <c r="D136" s="649"/>
      <c r="E136" s="637"/>
      <c r="F136" s="661" t="s">
        <v>115</v>
      </c>
      <c r="G136" s="461" t="s">
        <v>86</v>
      </c>
      <c r="H136" s="329"/>
      <c r="I136" s="329"/>
      <c r="J136" s="329"/>
      <c r="K136" s="329"/>
      <c r="L136" s="329"/>
      <c r="M136" s="329"/>
      <c r="N136" s="329"/>
      <c r="O136" s="329"/>
      <c r="P136" s="329"/>
      <c r="Q136" s="329"/>
      <c r="R136" s="329"/>
      <c r="S136" s="465"/>
      <c r="T136" s="64"/>
    </row>
    <row r="137" spans="1:21" ht="16" thickBot="1" x14ac:dyDescent="0.25">
      <c r="A137" s="3"/>
      <c r="B137" s="650"/>
      <c r="C137" s="651"/>
      <c r="D137" s="652"/>
      <c r="E137" s="660"/>
      <c r="F137" s="662"/>
      <c r="G137" s="466" t="s">
        <v>87</v>
      </c>
      <c r="H137" s="467"/>
      <c r="I137" s="467"/>
      <c r="J137" s="467"/>
      <c r="K137" s="467"/>
      <c r="L137" s="467"/>
      <c r="M137" s="467"/>
      <c r="N137" s="467"/>
      <c r="O137" s="467"/>
      <c r="P137" s="467"/>
      <c r="Q137" s="467"/>
      <c r="R137" s="467"/>
      <c r="S137" s="468"/>
      <c r="T137" s="64"/>
    </row>
    <row r="138" spans="1:21" x14ac:dyDescent="0.2">
      <c r="A138" s="3"/>
      <c r="B138" s="3"/>
      <c r="C138" s="3"/>
      <c r="D138" s="3"/>
      <c r="E138" s="3"/>
      <c r="F138" s="3"/>
      <c r="G138" s="2"/>
      <c r="H138" s="3"/>
      <c r="I138" s="3"/>
      <c r="J138" s="3"/>
      <c r="K138" s="3"/>
      <c r="L138" s="3"/>
      <c r="M138" s="3"/>
      <c r="N138" s="3"/>
      <c r="O138" s="3"/>
      <c r="R138" s="36"/>
      <c r="S138" s="36"/>
    </row>
    <row r="139" spans="1:21" x14ac:dyDescent="0.2">
      <c r="A139" s="3"/>
      <c r="B139" s="3"/>
      <c r="C139" s="3"/>
      <c r="D139" s="3"/>
      <c r="E139" s="3"/>
      <c r="F139" s="3"/>
      <c r="G139" s="2"/>
      <c r="H139" s="3"/>
      <c r="I139" s="3"/>
      <c r="J139" s="3"/>
      <c r="K139" s="3"/>
      <c r="L139" s="3"/>
      <c r="M139" s="3"/>
      <c r="N139" s="3"/>
      <c r="O139" s="3"/>
      <c r="R139" s="36"/>
      <c r="S139" s="36"/>
    </row>
    <row r="140" spans="1:21" x14ac:dyDescent="0.2">
      <c r="A140" s="3"/>
      <c r="B140" s="3"/>
      <c r="C140" s="3"/>
      <c r="D140" s="3"/>
      <c r="E140" s="3"/>
      <c r="F140" s="3"/>
      <c r="G140" s="2"/>
      <c r="H140" s="3"/>
      <c r="I140" s="3"/>
      <c r="J140" s="3"/>
      <c r="K140" s="3"/>
      <c r="L140" s="3"/>
      <c r="M140" s="3"/>
      <c r="N140" s="3"/>
      <c r="O140" s="3"/>
      <c r="R140" s="36"/>
      <c r="S140" s="36"/>
    </row>
    <row r="141" spans="1:21" ht="17" thickBot="1" x14ac:dyDescent="0.25">
      <c r="A141" s="3"/>
      <c r="B141" s="332"/>
      <c r="C141" s="3"/>
      <c r="D141" s="3"/>
      <c r="E141" s="3"/>
      <c r="F141" s="3"/>
      <c r="G141" s="2"/>
      <c r="H141" s="3"/>
      <c r="I141" s="3"/>
      <c r="J141" s="3"/>
      <c r="K141" s="3"/>
      <c r="L141" s="3"/>
      <c r="M141" s="3"/>
      <c r="N141" s="3"/>
      <c r="O141" s="3"/>
      <c r="R141" s="36"/>
      <c r="S141" s="36"/>
    </row>
    <row r="142" spans="1:21" ht="16" thickBot="1" x14ac:dyDescent="0.25">
      <c r="A142" s="3"/>
      <c r="B142" s="3" t="s">
        <v>405</v>
      </c>
      <c r="C142" s="3"/>
      <c r="D142" s="3"/>
      <c r="E142" s="330" t="s">
        <v>327</v>
      </c>
      <c r="F142" s="285" t="s">
        <v>344</v>
      </c>
      <c r="G142" s="248"/>
      <c r="H142" s="399" t="str">
        <f t="shared" ref="H142:S142" si="6">C30</f>
        <v>P1</v>
      </c>
      <c r="I142" s="399" t="str">
        <f t="shared" si="6"/>
        <v>P2</v>
      </c>
      <c r="J142" s="399" t="str">
        <f t="shared" si="6"/>
        <v>P3</v>
      </c>
      <c r="K142" s="399" t="str">
        <f t="shared" si="6"/>
        <v>P4</v>
      </c>
      <c r="L142" s="399" t="str">
        <f t="shared" si="6"/>
        <v>P5</v>
      </c>
      <c r="M142" s="399" t="str">
        <f t="shared" si="6"/>
        <v>P6</v>
      </c>
      <c r="N142" s="399" t="str">
        <f t="shared" si="6"/>
        <v>P7</v>
      </c>
      <c r="O142" s="399" t="str">
        <f t="shared" si="6"/>
        <v>P8</v>
      </c>
      <c r="P142" s="399" t="str">
        <f t="shared" si="6"/>
        <v>P9</v>
      </c>
      <c r="Q142" s="399" t="str">
        <f t="shared" si="6"/>
        <v>P10</v>
      </c>
      <c r="R142" s="399" t="str">
        <f t="shared" si="6"/>
        <v>P11</v>
      </c>
      <c r="S142" s="400" t="str">
        <f t="shared" si="6"/>
        <v>P12</v>
      </c>
      <c r="T142" s="36"/>
      <c r="U142" s="36"/>
    </row>
    <row r="143" spans="1:21" x14ac:dyDescent="0.2">
      <c r="A143" s="3"/>
      <c r="B143" s="677" t="str">
        <f>IF(ISBLANK(B118),"",(B118))</f>
        <v>Pr1. Proportion of estimated malaria cases (presumed and confirmed) that received first line anti-malarial treatment at health facilities</v>
      </c>
      <c r="C143" s="678"/>
      <c r="D143" s="679"/>
      <c r="E143" s="655" t="str">
        <f>IF(ISBLANK(E118),"",(E118))</f>
        <v/>
      </c>
      <c r="F143" s="657" t="str">
        <f>IF(ISBLANK(F118),"",(F118))</f>
        <v>No</v>
      </c>
      <c r="G143" s="358" t="s">
        <v>86</v>
      </c>
      <c r="H143" s="492">
        <f t="shared" ref="H143:S143" si="7">H118</f>
        <v>0.8</v>
      </c>
      <c r="I143" s="432">
        <f t="shared" si="7"/>
        <v>0.8</v>
      </c>
      <c r="J143" s="432">
        <f t="shared" si="7"/>
        <v>0.8</v>
      </c>
      <c r="K143" s="432">
        <f t="shared" si="7"/>
        <v>0.8</v>
      </c>
      <c r="L143" s="432">
        <f t="shared" si="7"/>
        <v>0.61299999999999999</v>
      </c>
      <c r="M143" s="432">
        <f t="shared" si="7"/>
        <v>0.61299999999999999</v>
      </c>
      <c r="N143" s="432">
        <f t="shared" si="7"/>
        <v>0.61299999999999999</v>
      </c>
      <c r="O143" s="432">
        <f t="shared" si="7"/>
        <v>0</v>
      </c>
      <c r="P143" s="432">
        <f t="shared" si="7"/>
        <v>0</v>
      </c>
      <c r="Q143" s="432">
        <f t="shared" si="7"/>
        <v>0</v>
      </c>
      <c r="R143" s="432">
        <f t="shared" si="7"/>
        <v>0</v>
      </c>
      <c r="S143" s="484">
        <f t="shared" si="7"/>
        <v>0</v>
      </c>
      <c r="T143" s="36"/>
      <c r="U143" s="36"/>
    </row>
    <row r="144" spans="1:21" x14ac:dyDescent="0.2">
      <c r="A144" s="3"/>
      <c r="B144" s="680"/>
      <c r="C144" s="681"/>
      <c r="D144" s="682"/>
      <c r="E144" s="655"/>
      <c r="F144" s="657"/>
      <c r="G144" s="131" t="s">
        <v>87</v>
      </c>
      <c r="H144" s="492">
        <f t="shared" ref="H144:K148" si="8">H119</f>
        <v>0.79900000000000004</v>
      </c>
      <c r="I144" s="432">
        <f t="shared" si="8"/>
        <v>0.59499999999999997</v>
      </c>
      <c r="J144" s="432">
        <f t="shared" si="8"/>
        <v>0.57999999999999996</v>
      </c>
      <c r="K144" s="432">
        <f t="shared" si="8"/>
        <v>0.56999999999999995</v>
      </c>
      <c r="L144" s="432">
        <f t="shared" ref="L144:S144" si="9">L119</f>
        <v>0.53500000000000003</v>
      </c>
      <c r="M144" s="432">
        <f t="shared" si="9"/>
        <v>0.53500000000000003</v>
      </c>
      <c r="N144" s="432">
        <f t="shared" si="9"/>
        <v>0.56299999999999994</v>
      </c>
      <c r="O144" s="432">
        <f t="shared" si="9"/>
        <v>0</v>
      </c>
      <c r="P144" s="432">
        <f t="shared" si="9"/>
        <v>0</v>
      </c>
      <c r="Q144" s="432">
        <f t="shared" si="9"/>
        <v>0</v>
      </c>
      <c r="R144" s="432">
        <f t="shared" si="9"/>
        <v>0</v>
      </c>
      <c r="S144" s="484">
        <f t="shared" si="9"/>
        <v>0</v>
      </c>
      <c r="T144" s="36"/>
      <c r="U144" s="36"/>
    </row>
    <row r="145" spans="1:21" x14ac:dyDescent="0.2">
      <c r="A145" s="3"/>
      <c r="B145" s="683" t="str">
        <f>IF(ISBLANK(B120),"",(B120))</f>
        <v>Pr2. %  Proportion of pregnant women attending antenatal clinics who received three or more doses of intermittent preventive treatment (IPTp) for malaria</v>
      </c>
      <c r="C145" s="684"/>
      <c r="D145" s="685"/>
      <c r="E145" s="653" t="str">
        <f>IF(ISBLANK(E120),"",(E120))</f>
        <v/>
      </c>
      <c r="F145" s="654" t="str">
        <f>IF(ISBLANK(F120),"",(F120))</f>
        <v>No</v>
      </c>
      <c r="G145" s="469" t="s">
        <v>86</v>
      </c>
      <c r="H145" s="493">
        <f t="shared" si="8"/>
        <v>0.55000000000000004</v>
      </c>
      <c r="I145" s="470">
        <f>I120</f>
        <v>0.55000000000000004</v>
      </c>
      <c r="J145" s="470">
        <f t="shared" si="8"/>
        <v>0.55000000000000004</v>
      </c>
      <c r="K145" s="470">
        <f>K120</f>
        <v>0.55000000000000004</v>
      </c>
      <c r="L145" s="470">
        <f t="shared" ref="L145:S145" si="10">L120</f>
        <v>0.60699999999999998</v>
      </c>
      <c r="M145" s="470">
        <f t="shared" si="10"/>
        <v>0.60699999999999998</v>
      </c>
      <c r="N145" s="470">
        <f t="shared" si="10"/>
        <v>0.60699999999999998</v>
      </c>
      <c r="O145" s="470">
        <f t="shared" si="10"/>
        <v>0</v>
      </c>
      <c r="P145" s="470">
        <f t="shared" si="10"/>
        <v>0</v>
      </c>
      <c r="Q145" s="470">
        <f t="shared" si="10"/>
        <v>0</v>
      </c>
      <c r="R145" s="470">
        <f t="shared" si="10"/>
        <v>0</v>
      </c>
      <c r="S145" s="485">
        <f t="shared" si="10"/>
        <v>0</v>
      </c>
      <c r="T145" s="36"/>
      <c r="U145" s="36"/>
    </row>
    <row r="146" spans="1:21" x14ac:dyDescent="0.2">
      <c r="A146" s="3"/>
      <c r="B146" s="683"/>
      <c r="C146" s="684"/>
      <c r="D146" s="685"/>
      <c r="E146" s="653"/>
      <c r="F146" s="654"/>
      <c r="G146" s="469" t="s">
        <v>87</v>
      </c>
      <c r="H146" s="470">
        <f t="shared" si="8"/>
        <v>0.39200000000000002</v>
      </c>
      <c r="I146" s="470">
        <f t="shared" si="8"/>
        <v>0.42</v>
      </c>
      <c r="J146" s="470">
        <f t="shared" si="8"/>
        <v>0.51249999999999996</v>
      </c>
      <c r="K146" s="470">
        <f t="shared" si="8"/>
        <v>0.41</v>
      </c>
      <c r="L146" s="470">
        <f t="shared" ref="L146:S146" si="11">L121</f>
        <v>0.36699999999999999</v>
      </c>
      <c r="M146" s="470">
        <f t="shared" si="11"/>
        <v>0.35699999999999998</v>
      </c>
      <c r="N146" s="470">
        <f t="shared" si="11"/>
        <v>0.40300000000000002</v>
      </c>
      <c r="O146" s="470">
        <f t="shared" si="11"/>
        <v>0</v>
      </c>
      <c r="P146" s="470">
        <f t="shared" si="11"/>
        <v>0</v>
      </c>
      <c r="Q146" s="470">
        <f t="shared" si="11"/>
        <v>0</v>
      </c>
      <c r="R146" s="470">
        <f t="shared" si="11"/>
        <v>0</v>
      </c>
      <c r="S146" s="485">
        <f t="shared" si="11"/>
        <v>0</v>
      </c>
      <c r="T146" s="36"/>
      <c r="U146" s="36"/>
    </row>
    <row r="147" spans="1:21" x14ac:dyDescent="0.2">
      <c r="A147" s="3"/>
      <c r="B147" s="641" t="str">
        <f>IF(ISBLANK(B122),"",(B122))</f>
        <v>Pr3. Number of long-lasting insecticidal nets distributed to at-risk populations through mass campaigns</v>
      </c>
      <c r="C147" s="642"/>
      <c r="D147" s="643"/>
      <c r="E147" s="655" t="str">
        <f>IF(ISBLANK(E122),"",(E122))</f>
        <v/>
      </c>
      <c r="F147" s="657" t="str">
        <f>IF(ISBLANK(F122),"",(F122))</f>
        <v>No</v>
      </c>
      <c r="G147" s="131" t="s">
        <v>86</v>
      </c>
      <c r="H147" s="432">
        <f t="shared" si="8"/>
        <v>2692264</v>
      </c>
      <c r="I147" s="432">
        <f t="shared" si="8"/>
        <v>2692264</v>
      </c>
      <c r="J147" s="432">
        <f t="shared" si="8"/>
        <v>5913034</v>
      </c>
      <c r="K147" s="432">
        <f t="shared" si="8"/>
        <v>5913034</v>
      </c>
      <c r="L147" s="432">
        <f t="shared" ref="L147:S147" si="12">L122</f>
        <v>1814467</v>
      </c>
      <c r="M147" s="432">
        <f t="shared" si="12"/>
        <v>1814467</v>
      </c>
      <c r="N147" s="432">
        <f t="shared" si="12"/>
        <v>2331644</v>
      </c>
      <c r="O147" s="432">
        <f t="shared" si="12"/>
        <v>0</v>
      </c>
      <c r="P147" s="432">
        <f t="shared" si="12"/>
        <v>0</v>
      </c>
      <c r="Q147" s="432">
        <f t="shared" si="12"/>
        <v>0</v>
      </c>
      <c r="R147" s="432">
        <f t="shared" si="12"/>
        <v>0</v>
      </c>
      <c r="S147" s="484">
        <f t="shared" si="12"/>
        <v>0</v>
      </c>
      <c r="T147" s="36"/>
      <c r="U147" s="36"/>
    </row>
    <row r="148" spans="1:21" ht="16" thickBot="1" x14ac:dyDescent="0.25">
      <c r="A148" s="3"/>
      <c r="B148" s="644"/>
      <c r="C148" s="645"/>
      <c r="D148" s="646"/>
      <c r="E148" s="656"/>
      <c r="F148" s="658"/>
      <c r="G148" s="132" t="s">
        <v>87</v>
      </c>
      <c r="H148" s="433">
        <f t="shared" si="8"/>
        <v>0</v>
      </c>
      <c r="I148" s="433">
        <f t="shared" si="8"/>
        <v>2942234</v>
      </c>
      <c r="J148" s="433">
        <f t="shared" si="8"/>
        <v>252723</v>
      </c>
      <c r="K148" s="433">
        <f t="shared" si="8"/>
        <v>5129002</v>
      </c>
      <c r="L148" s="433">
        <f t="shared" ref="L148:S148" si="13">L123</f>
        <v>1811109</v>
      </c>
      <c r="M148" s="433">
        <f t="shared" si="13"/>
        <v>1762766</v>
      </c>
      <c r="N148" s="433">
        <f t="shared" si="13"/>
        <v>2440710</v>
      </c>
      <c r="O148" s="433">
        <f t="shared" si="13"/>
        <v>0</v>
      </c>
      <c r="P148" s="433">
        <f t="shared" si="13"/>
        <v>0</v>
      </c>
      <c r="Q148" s="433">
        <f t="shared" si="13"/>
        <v>0</v>
      </c>
      <c r="R148" s="433">
        <f t="shared" si="13"/>
        <v>0</v>
      </c>
      <c r="S148" s="486">
        <f t="shared" si="13"/>
        <v>0</v>
      </c>
      <c r="T148" s="36"/>
      <c r="U148" s="36"/>
    </row>
    <row r="149" spans="1:21" x14ac:dyDescent="0.2">
      <c r="A149" s="3"/>
      <c r="B149" s="3"/>
      <c r="C149" s="3"/>
      <c r="D149" s="3"/>
      <c r="E149" s="3"/>
      <c r="F149" s="3"/>
      <c r="G149" s="3"/>
      <c r="H149" s="3"/>
      <c r="I149" s="3"/>
      <c r="J149" s="3"/>
      <c r="K149" s="3"/>
      <c r="L149" s="3"/>
      <c r="M149" s="3"/>
      <c r="N149"/>
      <c r="O149"/>
      <c r="P149" s="36"/>
      <c r="Q149" s="36"/>
      <c r="S149" s="471"/>
    </row>
    <row r="150" spans="1:21" x14ac:dyDescent="0.2">
      <c r="N150"/>
      <c r="O150"/>
      <c r="P150" s="36"/>
      <c r="Q150" s="36"/>
    </row>
    <row r="151" spans="1:21" x14ac:dyDescent="0.2">
      <c r="N151"/>
      <c r="O151"/>
      <c r="P151" s="36"/>
      <c r="Q151" s="36"/>
    </row>
    <row r="152" spans="1:21" x14ac:dyDescent="0.2">
      <c r="N152"/>
      <c r="O152"/>
      <c r="P152" s="36"/>
      <c r="Q152" s="36"/>
    </row>
  </sheetData>
  <mergeCells count="73">
    <mergeCell ref="D24:E24"/>
    <mergeCell ref="G24:H24"/>
    <mergeCell ref="I24:J24"/>
    <mergeCell ref="A118:A123"/>
    <mergeCell ref="B29:N29"/>
    <mergeCell ref="B118:D119"/>
    <mergeCell ref="B60:D60"/>
    <mergeCell ref="F122:F123"/>
    <mergeCell ref="B120:D121"/>
    <mergeCell ref="B122:D123"/>
    <mergeCell ref="B73:C73"/>
    <mergeCell ref="E122:E123"/>
    <mergeCell ref="B116:D116"/>
    <mergeCell ref="B2:J2"/>
    <mergeCell ref="C4:D4"/>
    <mergeCell ref="E4:F4"/>
    <mergeCell ref="G4:J4"/>
    <mergeCell ref="H16:I16"/>
    <mergeCell ref="C6:D6"/>
    <mergeCell ref="E6:F6"/>
    <mergeCell ref="I6:J6"/>
    <mergeCell ref="G12:J12"/>
    <mergeCell ref="G10:J10"/>
    <mergeCell ref="B18:C18"/>
    <mergeCell ref="E10:F10"/>
    <mergeCell ref="I8:J8"/>
    <mergeCell ref="C10:D10"/>
    <mergeCell ref="E12:F12"/>
    <mergeCell ref="C8:D8"/>
    <mergeCell ref="B14:J14"/>
    <mergeCell ref="B145:D146"/>
    <mergeCell ref="B128:D129"/>
    <mergeCell ref="B130:D131"/>
    <mergeCell ref="B132:D133"/>
    <mergeCell ref="B134:D135"/>
    <mergeCell ref="B124:D125"/>
    <mergeCell ref="C12:D12"/>
    <mergeCell ref="D18:F18"/>
    <mergeCell ref="F132:F133"/>
    <mergeCell ref="F126:F127"/>
    <mergeCell ref="B71:C71"/>
    <mergeCell ref="B26:C26"/>
    <mergeCell ref="B108:B111"/>
    <mergeCell ref="F128:F129"/>
    <mergeCell ref="E130:E131"/>
    <mergeCell ref="F130:F131"/>
    <mergeCell ref="E124:E125"/>
    <mergeCell ref="E128:E129"/>
    <mergeCell ref="F124:F125"/>
    <mergeCell ref="B21:J21"/>
    <mergeCell ref="B72:C72"/>
    <mergeCell ref="B147:D148"/>
    <mergeCell ref="B136:D137"/>
    <mergeCell ref="E145:E146"/>
    <mergeCell ref="E126:E127"/>
    <mergeCell ref="F145:F146"/>
    <mergeCell ref="E147:E148"/>
    <mergeCell ref="F147:F148"/>
    <mergeCell ref="E134:E135"/>
    <mergeCell ref="F134:F135"/>
    <mergeCell ref="E136:E137"/>
    <mergeCell ref="F136:F137"/>
    <mergeCell ref="E143:E144"/>
    <mergeCell ref="F143:F144"/>
    <mergeCell ref="B126:D127"/>
    <mergeCell ref="E132:E133"/>
    <mergeCell ref="B143:D144"/>
    <mergeCell ref="O31:O34"/>
    <mergeCell ref="E118:E119"/>
    <mergeCell ref="F118:F119"/>
    <mergeCell ref="F120:F121"/>
    <mergeCell ref="E120:E121"/>
    <mergeCell ref="F47:I47"/>
  </mergeCells>
  <phoneticPr fontId="30" type="noConversion"/>
  <conditionalFormatting sqref="B34 B32 C32:D33 C31 D32:H32 E33:N33">
    <cfRule type="expression" dxfId="41" priority="2" stopIfTrue="1">
      <formula>+AND(#REF!&gt;=#REF!,#REF!&lt;=#REF!)</formula>
    </cfRule>
  </conditionalFormatting>
  <conditionalFormatting sqref="C34:N34">
    <cfRule type="expression" dxfId="40" priority="3" stopIfTrue="1">
      <formula>+AND(#REF!&gt;=#REF!,#REF!&lt;=#REF!)</formula>
    </cfRule>
  </conditionalFormatting>
  <conditionalFormatting sqref="C30:N30 C94:N94">
    <cfRule type="cellIs" dxfId="39" priority="6" stopIfTrue="1" operator="equal">
      <formula>$C$16</formula>
    </cfRule>
  </conditionalFormatting>
  <conditionalFormatting sqref="C12:D12">
    <cfRule type="cellIs" dxfId="38" priority="8" stopIfTrue="1" operator="equal">
      <formula>"C"</formula>
    </cfRule>
    <cfRule type="cellIs" dxfId="37" priority="9" stopIfTrue="1" operator="equal">
      <formula>"B2"</formula>
    </cfRule>
    <cfRule type="cellIs" dxfId="36" priority="10" stopIfTrue="1" operator="equal">
      <formula>"B1"</formula>
    </cfRule>
  </conditionalFormatting>
  <conditionalFormatting sqref="H116:S117 H142:S142">
    <cfRule type="cellIs" dxfId="35" priority="17" stopIfTrue="1" operator="equal">
      <formula>$C$16</formula>
    </cfRule>
  </conditionalFormatting>
  <conditionalFormatting sqref="F47:I47">
    <cfRule type="expression" dxfId="34" priority="18" stopIfTrue="1">
      <formula>LEFT($F$47,2)="OK"</formula>
    </cfRule>
  </conditionalFormatting>
  <conditionalFormatting sqref="D31">
    <cfRule type="expression" dxfId="33" priority="1" stopIfTrue="1">
      <formula>+AND(#REF!&gt;=#REF!,#REF!&lt;=#REF!)</formula>
    </cfRule>
  </conditionalFormatting>
  <dataValidations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ageMargins left="0.70866141732283472" right="0.70866141732283472" top="0.74803149606299213" bottom="0.74803149606299213" header="0.31496062992125984" footer="0.31496062992125984"/>
  <pageSetup paperSize="9" orientation="landscape"/>
  <headerFooter>
    <oddFooter>&amp;L&amp;F&amp;C&amp;A&amp;RV1.0          &amp;D</oddFooter>
  </headerFooter>
  <rowBreaks count="1" manualBreakCount="1">
    <brk id="48" max="16383" man="1"/>
  </rowBreaks>
  <ignoredErrors>
    <ignoredError sqref="H142:S142 E143" unlockedFormula="1"/>
  </ignoredErrors>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51"/>
  </sheetPr>
  <dimension ref="A1:X18"/>
  <sheetViews>
    <sheetView showGridLines="0" topLeftCell="A3" zoomScale="110" zoomScaleNormal="110" zoomScaleSheetLayoutView="100" zoomScalePageLayoutView="110" workbookViewId="0">
      <selection activeCell="G13" sqref="G13:J13"/>
    </sheetView>
  </sheetViews>
  <sheetFormatPr baseColWidth="10" defaultColWidth="11.5" defaultRowHeight="15" x14ac:dyDescent="0.2"/>
  <cols>
    <col min="1" max="1" width="21.1640625" style="3" customWidth="1"/>
    <col min="2" max="2" width="12.5" style="3" customWidth="1"/>
    <col min="3" max="3" width="20.5" style="3" customWidth="1"/>
    <col min="4" max="4" width="15.33203125" style="3" customWidth="1"/>
    <col min="5" max="5" width="11.6640625" style="3" customWidth="1"/>
    <col min="6" max="6" width="10.6640625" style="3" customWidth="1"/>
    <col min="7" max="7" width="11.6640625" style="3" customWidth="1"/>
    <col min="8" max="8" width="15" style="3" customWidth="1"/>
    <col min="9" max="9" width="9.5" style="3" customWidth="1"/>
    <col min="10" max="10" width="13" style="3" customWidth="1"/>
    <col min="11" max="11" width="11.5" style="3" customWidth="1"/>
    <col min="12" max="12" width="8.1640625" style="3" customWidth="1"/>
    <col min="13" max="13" width="9.6640625" style="3" customWidth="1"/>
    <col min="14" max="14" width="8.5" style="3" customWidth="1"/>
    <col min="15" max="15" width="7.1640625" style="3" customWidth="1"/>
    <col min="16" max="16384" width="11.5" style="3"/>
  </cols>
  <sheetData>
    <row r="1" spans="1:24" ht="21" customHeight="1" x14ac:dyDescent="0.2">
      <c r="A1" s="2"/>
      <c r="B1" s="2"/>
      <c r="C1" s="2"/>
      <c r="D1" s="2"/>
      <c r="E1" s="2"/>
      <c r="F1" s="2"/>
      <c r="G1" s="277"/>
      <c r="H1" s="2"/>
      <c r="I1" s="2"/>
      <c r="J1" s="2"/>
    </row>
    <row r="2" spans="1:24" ht="25.5" customHeight="1" x14ac:dyDescent="0.2"/>
    <row r="3" spans="1:24" ht="37" x14ac:dyDescent="0.2">
      <c r="B3" s="729" t="str">
        <f>+"Dashboard: "&amp;" "&amp;+IF('Data Entry'!C4="Please Select","",'Data Entry'!C4&amp;" - ")&amp;+IF('Data Entry'!G6="Please Select","",'Data Entry'!G6)</f>
        <v>Dashboard:  Ghana - MALARIA</v>
      </c>
      <c r="C3" s="729"/>
      <c r="D3" s="729"/>
      <c r="E3" s="729"/>
      <c r="F3" s="729"/>
      <c r="G3" s="729"/>
      <c r="H3" s="729"/>
      <c r="I3" s="729"/>
      <c r="J3" s="729"/>
      <c r="K3" s="4"/>
      <c r="L3" s="4"/>
      <c r="M3" s="4"/>
      <c r="N3" s="5"/>
      <c r="O3" s="5"/>
      <c r="P3" s="5"/>
      <c r="Q3" s="5"/>
      <c r="R3" s="5"/>
      <c r="S3" s="5"/>
      <c r="T3" s="5"/>
    </row>
    <row r="4" spans="1:24" ht="15" customHeight="1" x14ac:dyDescent="0.2">
      <c r="L4" s="5"/>
      <c r="M4" s="5"/>
      <c r="N4" s="5"/>
      <c r="O4" s="5"/>
      <c r="P4" s="5"/>
      <c r="Q4" s="5"/>
      <c r="R4" s="5"/>
      <c r="S4" s="5"/>
      <c r="T4" s="5"/>
    </row>
    <row r="5" spans="1:24" x14ac:dyDescent="0.2">
      <c r="L5" s="5"/>
      <c r="M5" s="5"/>
      <c r="N5" s="5"/>
      <c r="O5" s="5"/>
      <c r="P5" s="5"/>
      <c r="Q5" s="5"/>
      <c r="R5" s="5"/>
      <c r="S5" s="5"/>
      <c r="T5" s="5"/>
    </row>
    <row r="6" spans="1:24" ht="32.25" customHeight="1" x14ac:dyDescent="0.2">
      <c r="A6" s="270" t="s">
        <v>26</v>
      </c>
      <c r="B6" s="730" t="str">
        <f>+IF('Data Entry'!C4="Please Select","",'Data Entry'!C4)</f>
        <v>Ghana</v>
      </c>
      <c r="C6" s="730"/>
      <c r="D6" s="733" t="s">
        <v>12</v>
      </c>
      <c r="E6" s="733"/>
      <c r="F6" s="734" t="str">
        <f>+'Data Entry'!G4</f>
        <v>Accelerating access to Prevention, treatment and home based care for malaria and increasing the access to affordable ACTs in the private Sector</v>
      </c>
      <c r="G6" s="734"/>
      <c r="H6" s="734"/>
      <c r="I6" s="734"/>
      <c r="J6" s="734"/>
      <c r="K6" s="50"/>
      <c r="L6" s="82"/>
      <c r="M6" s="50"/>
      <c r="N6" s="50"/>
      <c r="O6" s="50"/>
      <c r="P6" s="51"/>
      <c r="Q6" s="17"/>
      <c r="R6" s="17"/>
      <c r="S6" s="17"/>
      <c r="T6" s="17"/>
      <c r="U6" s="17"/>
    </row>
    <row r="7" spans="1:24" ht="8.25" customHeight="1" x14ac:dyDescent="0.25">
      <c r="B7" s="6"/>
      <c r="C7" s="7"/>
      <c r="D7" s="7"/>
      <c r="E7" s="8"/>
      <c r="F7" s="8"/>
      <c r="G7" s="9"/>
      <c r="H7" s="9"/>
      <c r="K7" s="50"/>
      <c r="L7" s="50"/>
      <c r="M7" s="50"/>
      <c r="N7" s="50"/>
      <c r="O7" s="50"/>
      <c r="P7" s="51"/>
      <c r="Q7" s="17"/>
      <c r="R7" s="17"/>
      <c r="S7" s="17"/>
      <c r="T7" s="17"/>
      <c r="U7" s="17"/>
    </row>
    <row r="8" spans="1:24" ht="3.75" customHeight="1" x14ac:dyDescent="0.2">
      <c r="C8" s="10"/>
      <c r="D8" s="10"/>
      <c r="E8" s="10"/>
      <c r="F8" s="10"/>
      <c r="G8" s="10"/>
      <c r="H8" s="10"/>
      <c r="I8" s="10"/>
      <c r="J8" s="10"/>
      <c r="K8" s="50"/>
      <c r="L8" s="50"/>
      <c r="M8" s="50"/>
      <c r="N8" s="50"/>
      <c r="O8" s="52"/>
      <c r="P8" s="51"/>
      <c r="Q8" s="52"/>
      <c r="R8" s="53"/>
      <c r="S8" s="17"/>
      <c r="T8" s="17"/>
      <c r="U8" s="17"/>
    </row>
    <row r="9" spans="1:24" ht="25.5" customHeight="1" x14ac:dyDescent="0.2">
      <c r="A9" s="388" t="s">
        <v>27</v>
      </c>
      <c r="B9" s="349" t="str">
        <f>+IF('Data Entry'!G6="Please Select","",'Data Entry'!G6)</f>
        <v>MALARIA</v>
      </c>
      <c r="C9" s="228" t="s">
        <v>328</v>
      </c>
      <c r="D9" s="350" t="str">
        <f>+'Data Entry'!C6</f>
        <v>GHA-MOH-M</v>
      </c>
      <c r="E9" s="732" t="s">
        <v>13</v>
      </c>
      <c r="F9" s="732"/>
      <c r="G9" s="351">
        <f>+IF(ISBLANK('Data Entry'!C10),"",'Data Entry'!C10)</f>
        <v>42064</v>
      </c>
      <c r="H9" s="388" t="s">
        <v>329</v>
      </c>
      <c r="I9" s="731">
        <f>+IF(ISBLANK('Data Entry'!I6),"",'Data Entry'!I6)</f>
        <v>118095102</v>
      </c>
      <c r="J9" s="731"/>
      <c r="K9" s="50"/>
      <c r="L9" s="50"/>
      <c r="M9" s="50"/>
      <c r="N9" s="50"/>
      <c r="O9" s="52"/>
      <c r="P9" s="51"/>
      <c r="Q9" s="52"/>
      <c r="R9" s="53"/>
      <c r="S9" s="17"/>
      <c r="T9" s="11"/>
      <c r="U9" s="11"/>
      <c r="V9" s="10"/>
      <c r="W9" s="10"/>
      <c r="X9" s="10"/>
    </row>
    <row r="10" spans="1:24" ht="25.5" customHeight="1" x14ac:dyDescent="0.2">
      <c r="A10" s="388" t="s">
        <v>323</v>
      </c>
      <c r="B10" s="352" t="str">
        <f>+IF('Data Entry'!G8="Please Select","",'Data Entry'!G8)</f>
        <v/>
      </c>
      <c r="C10" s="228" t="s">
        <v>322</v>
      </c>
      <c r="D10" s="353" t="str">
        <f>+IF('Data Entry'!I8="Please Select","",'Data Entry'!I8)</f>
        <v/>
      </c>
      <c r="E10" s="725" t="s">
        <v>269</v>
      </c>
      <c r="F10" s="725"/>
      <c r="G10" s="724" t="str">
        <f>+'Data Entry'!C8</f>
        <v>MOH</v>
      </c>
      <c r="H10" s="724"/>
      <c r="I10" s="724"/>
      <c r="J10" s="724"/>
      <c r="K10" s="54"/>
      <c r="L10" s="54"/>
      <c r="M10" s="50"/>
      <c r="N10" s="54"/>
      <c r="O10" s="52"/>
      <c r="P10" s="51"/>
      <c r="Q10" s="11"/>
      <c r="R10" s="53"/>
      <c r="S10" s="17"/>
      <c r="T10" s="11"/>
      <c r="U10" s="11"/>
    </row>
    <row r="11" spans="1:24" ht="25.5" customHeight="1" x14ac:dyDescent="0.2">
      <c r="A11" s="388" t="s">
        <v>21</v>
      </c>
      <c r="B11" s="354" t="str">
        <f>+'Data Entry'!C16</f>
        <v>P7</v>
      </c>
      <c r="C11" s="335" t="s">
        <v>267</v>
      </c>
      <c r="D11" s="355" t="str">
        <f>+IF(ISBLANK('Data Entry'!E16),"",'Data Entry'!E16)</f>
        <v>July</v>
      </c>
      <c r="E11" s="732" t="s">
        <v>22</v>
      </c>
      <c r="F11" s="732"/>
      <c r="G11" s="355" t="str">
        <f>+IF(ISBLANK('Data Entry'!G16),"",'Data Entry'!G16)</f>
        <v>Sept</v>
      </c>
      <c r="H11" s="388" t="s">
        <v>29</v>
      </c>
      <c r="I11" s="726" t="str">
        <f>+IF('Data Entry'!C12="Please Select","",'Data Entry'!C12)</f>
        <v>B1</v>
      </c>
      <c r="J11" s="726"/>
      <c r="K11" s="276"/>
      <c r="L11" s="54"/>
      <c r="M11" s="50"/>
      <c r="N11" s="54"/>
      <c r="O11" s="54"/>
      <c r="P11" s="51"/>
      <c r="Q11" s="11"/>
      <c r="R11" s="53"/>
      <c r="S11" s="17"/>
      <c r="T11" s="12"/>
      <c r="U11" s="11"/>
    </row>
    <row r="12" spans="1:24" ht="25.5" customHeight="1" x14ac:dyDescent="0.2">
      <c r="A12" s="388" t="s">
        <v>31</v>
      </c>
      <c r="B12" s="724" t="str">
        <f>+IF('Data Entry'!G10="Please Select","",'Data Entry'!G10)</f>
        <v>PwC (PricewaterhouseCoopers)</v>
      </c>
      <c r="C12" s="724"/>
      <c r="D12" s="724"/>
      <c r="E12" s="725" t="s">
        <v>290</v>
      </c>
      <c r="F12" s="725"/>
      <c r="G12" s="724" t="str">
        <f>+'Data Entry'!G12</f>
        <v>Mark Saafield</v>
      </c>
      <c r="H12" s="724"/>
      <c r="I12" s="724"/>
      <c r="J12" s="724"/>
      <c r="K12" s="54"/>
      <c r="L12" s="54"/>
      <c r="M12" s="50"/>
      <c r="N12" s="54"/>
      <c r="O12" s="17"/>
      <c r="P12" s="51"/>
      <c r="Q12" s="11"/>
      <c r="R12" s="53"/>
      <c r="S12" s="17"/>
      <c r="T12" s="11"/>
      <c r="U12" s="55"/>
      <c r="V12" s="11"/>
      <c r="W12" s="12"/>
      <c r="X12" s="11"/>
    </row>
    <row r="13" spans="1:24" ht="25.5" customHeight="1" x14ac:dyDescent="0.2">
      <c r="A13" s="388" t="s">
        <v>32</v>
      </c>
      <c r="B13" s="724" t="str">
        <f>+'Data Entry'!D18</f>
        <v>Whajib and Joel</v>
      </c>
      <c r="C13" s="724"/>
      <c r="D13" s="724"/>
      <c r="E13" s="725" t="s">
        <v>30</v>
      </c>
      <c r="F13" s="725"/>
      <c r="G13" s="727">
        <f>+IF(ISBLANK('Data Entry'!J16),"",'Data Entry'!J16)</f>
        <v>42689</v>
      </c>
      <c r="H13" s="728"/>
      <c r="I13" s="728"/>
      <c r="J13" s="728"/>
      <c r="K13" s="17"/>
      <c r="L13" s="18"/>
      <c r="M13" s="18"/>
      <c r="N13" s="18"/>
      <c r="O13" s="17"/>
      <c r="P13" s="18"/>
      <c r="Q13" s="18"/>
      <c r="R13" s="53"/>
      <c r="S13" s="17"/>
      <c r="T13" s="18"/>
      <c r="U13" s="56"/>
    </row>
    <row r="14" spans="1:24" x14ac:dyDescent="0.2">
      <c r="A14" s="14"/>
      <c r="B14" s="14"/>
      <c r="C14" s="16"/>
      <c r="D14" s="16"/>
      <c r="E14" s="16"/>
      <c r="F14" s="16"/>
      <c r="L14" s="13"/>
      <c r="M14" s="13"/>
      <c r="N14" s="13"/>
      <c r="O14" s="13"/>
      <c r="P14" s="13"/>
      <c r="Q14" s="13"/>
      <c r="R14" s="13"/>
      <c r="S14" s="13"/>
      <c r="T14" s="13"/>
      <c r="U14" s="13"/>
    </row>
    <row r="15" spans="1:24" x14ac:dyDescent="0.2">
      <c r="A15" s="16"/>
      <c r="B15" s="16"/>
      <c r="C15" s="16"/>
      <c r="D15" s="16"/>
      <c r="E15" s="16"/>
      <c r="F15" s="16"/>
      <c r="L15" s="13"/>
      <c r="M15" s="13"/>
      <c r="N15" s="13"/>
      <c r="O15" s="13"/>
      <c r="P15" s="13"/>
      <c r="Q15" s="13"/>
      <c r="R15" s="13"/>
      <c r="S15" s="13"/>
      <c r="T15" s="13"/>
      <c r="U15" s="13"/>
    </row>
    <row r="16" spans="1:24" x14ac:dyDescent="0.2">
      <c r="A16" s="16"/>
      <c r="B16" s="16"/>
      <c r="C16" s="237"/>
      <c r="D16" s="16"/>
      <c r="E16" s="389"/>
      <c r="F16" s="15"/>
      <c r="L16" s="13"/>
      <c r="M16" s="13"/>
      <c r="N16" s="13"/>
      <c r="O16" s="13"/>
      <c r="P16" s="13"/>
      <c r="Q16" s="13"/>
      <c r="R16" s="13"/>
      <c r="S16" s="13"/>
      <c r="T16" s="13"/>
      <c r="U16" s="13"/>
    </row>
    <row r="17" spans="1:6" x14ac:dyDescent="0.2">
      <c r="A17" s="16"/>
      <c r="B17" s="16"/>
      <c r="C17" s="16"/>
      <c r="D17" s="16"/>
      <c r="E17" s="16"/>
      <c r="F17" s="15"/>
    </row>
    <row r="18" spans="1:6" x14ac:dyDescent="0.2">
      <c r="A18" s="15"/>
      <c r="B18" s="15"/>
      <c r="C18" s="15"/>
      <c r="D18" s="15"/>
      <c r="E18" s="15"/>
      <c r="F18" s="15"/>
    </row>
  </sheetData>
  <sheetProtection password="CFC9" sheet="1"/>
  <dataConsolidate/>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phoneticPr fontId="30" type="noConversion"/>
  <conditionalFormatting sqref="I11:J11">
    <cfRule type="cellIs" dxfId="32" priority="1" stopIfTrue="1" operator="equal">
      <formula>"C"</formula>
    </cfRule>
    <cfRule type="cellIs" dxfId="31" priority="2" stopIfTrue="1" operator="equal">
      <formula>"B2"</formula>
    </cfRule>
    <cfRule type="cellIs" dxfId="30"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1"/>
  </sheetPr>
  <dimension ref="A1:O34"/>
  <sheetViews>
    <sheetView showGridLines="0" topLeftCell="A21" zoomScale="160" zoomScaleNormal="160" zoomScalePageLayoutView="160" workbookViewId="0">
      <selection activeCell="C3" sqref="C3:D3"/>
    </sheetView>
  </sheetViews>
  <sheetFormatPr baseColWidth="10" defaultColWidth="11" defaultRowHeight="15" x14ac:dyDescent="0.2"/>
  <cols>
    <col min="1" max="1" width="3.5" customWidth="1"/>
    <col min="2" max="2" width="11.33203125" customWidth="1"/>
    <col min="3" max="3" width="5.1640625" customWidth="1"/>
    <col min="4" max="4" width="12.5" customWidth="1"/>
    <col min="5" max="5" width="11.5" customWidth="1"/>
    <col min="6" max="6" width="14.33203125" customWidth="1"/>
    <col min="7" max="7" width="3.83203125" customWidth="1"/>
    <col min="8" max="8" width="10.5" customWidth="1"/>
    <col min="9" max="9" width="14.6640625" customWidth="1"/>
    <col min="10" max="10" width="12" customWidth="1"/>
    <col min="11" max="11" width="11.6640625" customWidth="1"/>
  </cols>
  <sheetData>
    <row r="1" spans="2:15" ht="30.75" customHeight="1" x14ac:dyDescent="0.2">
      <c r="B1" s="3"/>
      <c r="C1" s="3"/>
      <c r="D1" s="3"/>
      <c r="E1" s="3"/>
      <c r="F1" s="3"/>
      <c r="G1" s="3"/>
      <c r="H1" s="3"/>
      <c r="I1" s="3"/>
      <c r="J1" s="3"/>
      <c r="K1" s="3"/>
    </row>
    <row r="2" spans="2:15" ht="27.75" customHeight="1" x14ac:dyDescent="0.2">
      <c r="B2" s="686" t="str">
        <f>+"Dashboard:  "&amp;"  "&amp;IF(+'Data Entry'!C4="Please Select","",'Data Entry'!C4&amp;" - ")&amp;IF('Data Entry'!G6="Please Select","",'Data Entry'!G6)</f>
        <v>Dashboard:    Ghana - MALARIA</v>
      </c>
      <c r="C2" s="686"/>
      <c r="D2" s="686"/>
      <c r="E2" s="686"/>
      <c r="F2" s="686"/>
      <c r="G2" s="686"/>
      <c r="H2" s="686"/>
      <c r="I2" s="686"/>
      <c r="J2" s="686"/>
      <c r="K2" s="686"/>
      <c r="L2" s="1"/>
      <c r="M2" s="1"/>
      <c r="N2" s="1"/>
      <c r="O2" s="1"/>
    </row>
    <row r="3" spans="2:15" x14ac:dyDescent="0.2">
      <c r="B3" s="135" t="str">
        <f>+IF('Data Entry'!G8="Please Select","",'Data Entry'!G8)</f>
        <v/>
      </c>
      <c r="C3" s="743" t="str">
        <f>+IF('Data Entry'!I8="Please Select","",'Data Entry'!I8)</f>
        <v/>
      </c>
      <c r="D3" s="743"/>
      <c r="E3" s="742"/>
      <c r="F3" s="742"/>
      <c r="G3" s="742"/>
      <c r="H3" s="742"/>
      <c r="I3" s="740" t="str">
        <f>+'Data Entry'!B16</f>
        <v>Report Period:</v>
      </c>
      <c r="J3" s="740"/>
      <c r="K3" s="201" t="str">
        <f>+'Data Entry'!C16</f>
        <v>P7</v>
      </c>
      <c r="L3" s="83"/>
    </row>
    <row r="4" spans="2:15" x14ac:dyDescent="0.2">
      <c r="B4" s="135" t="str">
        <f>+'Data Entry'!B12</f>
        <v>Latest Rating:</v>
      </c>
      <c r="C4" s="744" t="str">
        <f>+IF('Data Entry'!C12="Please Select","",'Data Entry'!C12)</f>
        <v>B1</v>
      </c>
      <c r="D4" s="744"/>
      <c r="E4" s="742" t="str">
        <f>+'Data Entry'!C8</f>
        <v>MOH</v>
      </c>
      <c r="F4" s="742"/>
      <c r="G4" s="742"/>
      <c r="H4" s="742"/>
      <c r="I4" s="740" t="str">
        <f>+'Data Entry'!D16</f>
        <v>From:</v>
      </c>
      <c r="J4" s="741"/>
      <c r="K4" s="203" t="str">
        <f>+IF(ISBLANK('Data Entry'!E16),"",'Data Entry'!E16)</f>
        <v>July</v>
      </c>
    </row>
    <row r="5" spans="2:15" ht="18.75" customHeight="1" x14ac:dyDescent="0.2">
      <c r="B5" s="135"/>
      <c r="C5" s="135"/>
      <c r="D5" s="739" t="str">
        <f>+'Data Entry'!G4</f>
        <v>Accelerating access to Prevention, treatment and home based care for malaria and increasing the access to affordable ACTs in the private Sector</v>
      </c>
      <c r="E5" s="739"/>
      <c r="F5" s="739"/>
      <c r="G5" s="739"/>
      <c r="H5" s="739"/>
      <c r="I5" s="739"/>
      <c r="J5" s="135" t="str">
        <f>+'Data Entry'!F16</f>
        <v>To:</v>
      </c>
      <c r="K5" s="203" t="str">
        <f>+IF(ISBLANK('Data Entry'!G16),"",'Data Entry'!G16)</f>
        <v>Sept</v>
      </c>
    </row>
    <row r="6" spans="2:15" ht="19" x14ac:dyDescent="0.25">
      <c r="B6" s="139"/>
      <c r="C6" s="135"/>
      <c r="D6" s="136"/>
      <c r="E6" s="745" t="s">
        <v>63</v>
      </c>
      <c r="F6" s="745"/>
      <c r="G6" s="745"/>
      <c r="H6" s="745"/>
      <c r="I6" s="3"/>
      <c r="J6" s="3"/>
      <c r="K6" s="3"/>
    </row>
    <row r="7" spans="2:15" ht="10.5" customHeight="1" x14ac:dyDescent="0.25">
      <c r="B7" s="140"/>
      <c r="C7" s="141"/>
      <c r="D7" s="142"/>
      <c r="E7" s="143"/>
      <c r="F7" s="143"/>
      <c r="G7" s="144"/>
      <c r="H7" s="144"/>
      <c r="I7" s="138"/>
      <c r="J7" s="138"/>
      <c r="K7" s="137"/>
    </row>
    <row r="8" spans="2:15" x14ac:dyDescent="0.2">
      <c r="B8" s="206" t="str">
        <f>+'Data Entry'!B27&amp; " - in ("&amp;'Data Entry'!D26&amp;")         "&amp;+I3&amp;" "&amp;+K3</f>
        <v>F1: Budget and disbursements by Global Fund - in ($)         Report Period: P7</v>
      </c>
      <c r="C8" s="145"/>
      <c r="D8" s="2"/>
      <c r="E8" s="2"/>
      <c r="F8" s="2"/>
      <c r="H8" s="206" t="str">
        <f>+'Data Entry'!B49&amp; " - in ("&amp;'Data Entry'!D26&amp;")         "&amp;+I3&amp;" "&amp;+K3</f>
        <v>F3: Disbursements and expenditures - in ($)         Report Period: P7</v>
      </c>
      <c r="I8" s="3"/>
      <c r="J8" s="3"/>
      <c r="K8" s="3"/>
    </row>
    <row r="9" spans="2:15" x14ac:dyDescent="0.2">
      <c r="B9" s="359" t="s">
        <v>9</v>
      </c>
      <c r="C9" s="751" t="s">
        <v>463</v>
      </c>
      <c r="D9" s="752"/>
      <c r="E9" s="752"/>
      <c r="F9" s="753"/>
      <c r="H9" s="360" t="s">
        <v>9</v>
      </c>
      <c r="I9" s="754" t="s">
        <v>464</v>
      </c>
      <c r="J9" s="752"/>
      <c r="K9" s="753"/>
    </row>
    <row r="10" spans="2:15" x14ac:dyDescent="0.2">
      <c r="B10" s="2"/>
      <c r="C10" s="2"/>
      <c r="D10" s="2"/>
      <c r="E10" s="2"/>
      <c r="F10" s="2"/>
      <c r="G10" s="3"/>
      <c r="H10" s="3"/>
      <c r="I10" s="3"/>
      <c r="J10" s="3"/>
      <c r="K10" s="3"/>
    </row>
    <row r="11" spans="2:15" x14ac:dyDescent="0.2">
      <c r="B11" s="2"/>
      <c r="C11" s="2"/>
      <c r="D11" s="2"/>
      <c r="E11" s="2"/>
      <c r="F11" s="2"/>
      <c r="G11" s="3"/>
      <c r="H11" s="3"/>
      <c r="I11" s="3"/>
      <c r="J11" s="3"/>
      <c r="K11" s="3"/>
    </row>
    <row r="12" spans="2:15" x14ac:dyDescent="0.2">
      <c r="B12" s="2"/>
      <c r="C12" s="2"/>
      <c r="D12" s="2"/>
      <c r="E12" s="2"/>
      <c r="F12" s="2"/>
      <c r="G12" s="3"/>
      <c r="H12" s="3"/>
      <c r="I12" s="3"/>
      <c r="J12" s="3"/>
      <c r="K12" s="3"/>
    </row>
    <row r="13" spans="2:15" x14ac:dyDescent="0.2">
      <c r="B13" s="2"/>
      <c r="C13" s="2"/>
      <c r="D13" s="2"/>
      <c r="E13" s="2"/>
      <c r="F13" s="2"/>
      <c r="G13" s="3"/>
      <c r="H13" s="3"/>
      <c r="I13" s="3"/>
      <c r="J13" s="3"/>
      <c r="K13" s="3"/>
    </row>
    <row r="14" spans="2:15" x14ac:dyDescent="0.2">
      <c r="B14" s="2"/>
      <c r="C14" s="2"/>
      <c r="D14" s="2"/>
      <c r="E14" s="2"/>
      <c r="F14" s="2"/>
      <c r="G14" s="3"/>
      <c r="H14" s="3"/>
      <c r="I14" s="3"/>
      <c r="J14" s="3"/>
      <c r="K14" s="3"/>
    </row>
    <row r="15" spans="2:15" x14ac:dyDescent="0.2">
      <c r="B15" s="2"/>
      <c r="C15" s="2"/>
      <c r="D15" s="2"/>
      <c r="E15" s="2"/>
      <c r="F15" s="2"/>
      <c r="G15" s="3"/>
      <c r="H15" s="3"/>
      <c r="I15" s="3"/>
      <c r="J15" s="3"/>
      <c r="K15" s="3"/>
    </row>
    <row r="16" spans="2:15" x14ac:dyDescent="0.2">
      <c r="B16" s="2"/>
      <c r="C16" s="2"/>
      <c r="D16" s="2"/>
      <c r="E16" s="2"/>
      <c r="F16" s="2"/>
      <c r="G16" s="3"/>
      <c r="H16" s="3"/>
      <c r="I16" s="3"/>
      <c r="J16" s="3"/>
      <c r="K16" s="3"/>
    </row>
    <row r="17" spans="1:11" x14ac:dyDescent="0.2">
      <c r="B17" s="2"/>
      <c r="C17" s="2"/>
      <c r="D17" s="2"/>
      <c r="E17" s="2"/>
      <c r="F17" s="2"/>
      <c r="G17" s="3"/>
      <c r="H17" s="3"/>
      <c r="I17" s="3"/>
      <c r="J17" s="3"/>
      <c r="K17" s="3"/>
    </row>
    <row r="18" spans="1:11" x14ac:dyDescent="0.2">
      <c r="B18" s="2"/>
      <c r="C18" s="2"/>
      <c r="D18" s="2"/>
      <c r="E18" s="2"/>
      <c r="F18" s="2"/>
      <c r="G18" s="3"/>
      <c r="H18" s="3"/>
      <c r="I18" s="3"/>
      <c r="J18" s="3"/>
      <c r="K18" s="3"/>
    </row>
    <row r="19" spans="1:11" x14ac:dyDescent="0.2">
      <c r="B19" s="2"/>
      <c r="C19" s="2"/>
      <c r="D19" s="2"/>
      <c r="E19" s="2"/>
      <c r="F19" s="2"/>
      <c r="G19" s="3"/>
      <c r="H19" s="3"/>
      <c r="I19" s="3"/>
      <c r="J19" s="3"/>
      <c r="K19" s="3"/>
    </row>
    <row r="20" spans="1:11" x14ac:dyDescent="0.2">
      <c r="B20" s="2"/>
      <c r="C20" s="2"/>
      <c r="D20" s="2"/>
      <c r="E20" s="2"/>
      <c r="F20" s="2"/>
      <c r="G20" s="3"/>
      <c r="H20" s="3"/>
      <c r="I20" s="3"/>
      <c r="J20" s="3"/>
      <c r="K20" s="3"/>
    </row>
    <row r="21" spans="1:11" x14ac:dyDescent="0.2">
      <c r="A21" s="19"/>
      <c r="B21" s="19"/>
      <c r="C21" s="19"/>
      <c r="D21" s="19"/>
      <c r="E21" s="19"/>
      <c r="F21" s="19"/>
      <c r="G21" s="19"/>
      <c r="H21" s="19"/>
      <c r="I21" s="19"/>
      <c r="J21" s="19"/>
      <c r="K21" s="19"/>
    </row>
    <row r="22" spans="1:11" ht="17.25" customHeight="1" x14ac:dyDescent="0.2">
      <c r="B22" s="207" t="str">
        <f>+'Data Entry'!B36&amp; " - in ("&amp;'Data Entry'!D26&amp;")  "&amp;+I3&amp;" "&amp;+K3</f>
        <v>F2: Budget and actual expenditures by Grant Objective - in ($)  Report Period: P7</v>
      </c>
      <c r="C22" s="2"/>
      <c r="D22" s="2"/>
      <c r="E22" s="2"/>
      <c r="F22" s="2"/>
      <c r="H22" s="207" t="str">
        <f>+'Data Entry'!B58&amp;"      "&amp;+I3&amp;" "&amp;+K3</f>
        <v>F4: Latest PR reporting and disbursement cycle      Report Period: P7</v>
      </c>
      <c r="J22" s="3"/>
      <c r="K22" s="3"/>
    </row>
    <row r="23" spans="1:11" x14ac:dyDescent="0.2">
      <c r="B23" s="360" t="s">
        <v>10</v>
      </c>
      <c r="C23" s="754"/>
      <c r="D23" s="752"/>
      <c r="E23" s="752"/>
      <c r="F23" s="753"/>
      <c r="G23" s="385"/>
      <c r="H23" s="360" t="s">
        <v>9</v>
      </c>
      <c r="I23" s="754"/>
      <c r="J23" s="755"/>
      <c r="K23" s="756"/>
    </row>
    <row r="24" spans="1:11" ht="16" thickBot="1" x14ac:dyDescent="0.25">
      <c r="B24" s="216"/>
      <c r="C24" s="216"/>
      <c r="D24" s="216"/>
      <c r="E24" s="216"/>
      <c r="F24" s="216"/>
      <c r="G24" s="216"/>
      <c r="H24" s="217"/>
      <c r="I24" s="217"/>
      <c r="J24" s="216"/>
      <c r="K24" s="216"/>
    </row>
    <row r="25" spans="1:11" ht="29.25" customHeight="1" thickBot="1" x14ac:dyDescent="0.25">
      <c r="B25" s="3"/>
      <c r="C25" s="3"/>
      <c r="D25" s="3"/>
      <c r="E25" s="3"/>
      <c r="F25" s="3"/>
      <c r="G25" s="333"/>
      <c r="H25" s="746" t="s">
        <v>308</v>
      </c>
      <c r="I25" s="747"/>
      <c r="J25" s="747"/>
      <c r="K25" s="748"/>
    </row>
    <row r="26" spans="1:11" x14ac:dyDescent="0.2">
      <c r="B26" s="3"/>
      <c r="C26" s="3"/>
      <c r="D26" s="3"/>
      <c r="E26" s="3"/>
      <c r="F26" s="3"/>
      <c r="G26" s="293"/>
      <c r="H26" s="749"/>
      <c r="I26" s="750"/>
      <c r="J26" s="310" t="s">
        <v>61</v>
      </c>
      <c r="K26" s="311" t="s">
        <v>62</v>
      </c>
    </row>
    <row r="27" spans="1:11" ht="23.25" customHeight="1" x14ac:dyDescent="0.2">
      <c r="B27" s="3"/>
      <c r="C27" s="3"/>
      <c r="D27" s="3"/>
      <c r="E27" s="3"/>
      <c r="F27" s="3"/>
      <c r="G27" s="334"/>
      <c r="H27" s="735" t="str">
        <f>'Data Entry'!B62</f>
        <v>Days taken to submit final PU/DR to LFA</v>
      </c>
      <c r="I27" s="736"/>
      <c r="J27" s="312">
        <f>+'Data Entry'!C62</f>
        <v>45</v>
      </c>
      <c r="K27" s="309">
        <f>+'Data Entry'!D62</f>
        <v>45</v>
      </c>
    </row>
    <row r="28" spans="1:11" ht="21" customHeight="1" x14ac:dyDescent="0.2">
      <c r="B28" s="3"/>
      <c r="C28" s="3"/>
      <c r="D28" s="3"/>
      <c r="E28" s="3"/>
      <c r="F28" s="3"/>
      <c r="G28" s="334"/>
      <c r="H28" s="735" t="str">
        <f>'Data Entry'!B63</f>
        <v>Days taken for disbursement to reach PR</v>
      </c>
      <c r="I28" s="736"/>
      <c r="J28" s="312">
        <f>+'Data Entry'!C63</f>
        <v>45</v>
      </c>
      <c r="K28" s="309">
        <f>+'Data Entry'!D63</f>
        <v>67</v>
      </c>
    </row>
    <row r="29" spans="1:11" ht="21" customHeight="1" thickBot="1" x14ac:dyDescent="0.25">
      <c r="B29" s="3"/>
      <c r="C29" s="3"/>
      <c r="D29" s="3"/>
      <c r="E29" s="3"/>
      <c r="F29" s="3"/>
      <c r="G29" s="334"/>
      <c r="H29" s="737" t="str">
        <f>'Data Entry'!B64</f>
        <v xml:space="preserve">Days taken for disbursement to reach SRs </v>
      </c>
      <c r="I29" s="738"/>
      <c r="J29" s="313">
        <f>+'Data Entry'!C64</f>
        <v>20</v>
      </c>
      <c r="K29" s="314">
        <f>+'Data Entry'!D64</f>
        <v>20</v>
      </c>
    </row>
    <row r="30" spans="1:11" x14ac:dyDescent="0.2">
      <c r="B30" s="3"/>
      <c r="C30" s="3"/>
      <c r="D30" s="3"/>
      <c r="E30" s="3"/>
      <c r="F30" s="3"/>
      <c r="G30" s="3"/>
      <c r="H30" s="3"/>
      <c r="I30" s="3"/>
      <c r="J30" s="3"/>
      <c r="K30" s="3"/>
    </row>
    <row r="31" spans="1:11" x14ac:dyDescent="0.2">
      <c r="B31" s="3"/>
      <c r="C31" s="15"/>
      <c r="D31" s="238"/>
      <c r="E31" s="3"/>
      <c r="F31" s="3"/>
      <c r="G31" s="3"/>
      <c r="H31" s="3"/>
      <c r="I31" s="3"/>
      <c r="J31" s="3"/>
      <c r="K31" s="3"/>
    </row>
    <row r="32" spans="1:11" x14ac:dyDescent="0.2">
      <c r="B32" s="3"/>
      <c r="C32" s="15"/>
      <c r="D32" s="238"/>
      <c r="E32" s="3"/>
      <c r="F32" s="3"/>
      <c r="G32" s="3"/>
      <c r="H32" s="3"/>
      <c r="I32" s="3"/>
      <c r="J32" s="3"/>
      <c r="K32" s="3"/>
    </row>
    <row r="34" spans="5:5" x14ac:dyDescent="0.2">
      <c r="E34" s="19"/>
    </row>
  </sheetData>
  <sheetProtection password="CFC9" sheet="1"/>
  <mergeCells count="18">
    <mergeCell ref="C23:F23"/>
    <mergeCell ref="I9:K9"/>
    <mergeCell ref="H28:I28"/>
    <mergeCell ref="H29:I29"/>
    <mergeCell ref="B2:K2"/>
    <mergeCell ref="D5:I5"/>
    <mergeCell ref="I4:J4"/>
    <mergeCell ref="I3:J3"/>
    <mergeCell ref="E3:H3"/>
    <mergeCell ref="C3:D3"/>
    <mergeCell ref="C4:D4"/>
    <mergeCell ref="E4:H4"/>
    <mergeCell ref="E6:H6"/>
    <mergeCell ref="H25:K25"/>
    <mergeCell ref="H26:I26"/>
    <mergeCell ref="H27:I27"/>
    <mergeCell ref="C9:F9"/>
    <mergeCell ref="I23:K23"/>
  </mergeCells>
  <phoneticPr fontId="30" type="noConversion"/>
  <conditionalFormatting sqref="K27:K29">
    <cfRule type="cellIs" dxfId="29" priority="4" stopIfTrue="1" operator="greaterThan">
      <formula>#REF!</formula>
    </cfRule>
    <cfRule type="cellIs" dxfId="28" priority="5" stopIfTrue="1" operator="between">
      <formula>#REF!</formula>
      <formula>1</formula>
    </cfRule>
    <cfRule type="cellIs" dxfId="27" priority="6" stopIfTrue="1" operator="equal">
      <formula>0</formula>
    </cfRule>
  </conditionalFormatting>
  <conditionalFormatting sqref="C4:D4">
    <cfRule type="cellIs" dxfId="26" priority="1" stopIfTrue="1" operator="equal">
      <formula>"C"</formula>
    </cfRule>
    <cfRule type="cellIs" dxfId="25" priority="2" stopIfTrue="1" operator="equal">
      <formula>"B2"</formula>
    </cfRule>
    <cfRule type="cellIs" dxfId="24"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1"/>
  </sheetPr>
  <dimension ref="A1:P35"/>
  <sheetViews>
    <sheetView showGridLines="0" topLeftCell="B12" workbookViewId="0">
      <selection activeCell="C9" sqref="C9"/>
    </sheetView>
  </sheetViews>
  <sheetFormatPr baseColWidth="10" defaultColWidth="11" defaultRowHeight="15" x14ac:dyDescent="0.2"/>
  <cols>
    <col min="1" max="1" width="3.33203125" customWidth="1"/>
    <col min="2" max="2" width="10.5" customWidth="1"/>
    <col min="3" max="3" width="12.5" customWidth="1"/>
    <col min="4" max="4" width="13.1640625" customWidth="1"/>
    <col min="5" max="5" width="11.5" customWidth="1"/>
    <col min="6" max="6" width="17" customWidth="1"/>
    <col min="7" max="7" width="3.83203125" customWidth="1"/>
    <col min="8" max="8" width="9.83203125" customWidth="1"/>
    <col min="9" max="9" width="13" customWidth="1"/>
    <col min="10" max="10" width="13.6640625" customWidth="1"/>
    <col min="11" max="11" width="13.5" customWidth="1"/>
    <col min="12" max="12" width="14.1640625" customWidth="1"/>
  </cols>
  <sheetData>
    <row r="1" spans="1:16" ht="28.5" customHeight="1" x14ac:dyDescent="0.2">
      <c r="C1" s="234"/>
      <c r="E1" s="235"/>
    </row>
    <row r="2" spans="1:16" ht="27.75" customHeight="1" x14ac:dyDescent="0.2">
      <c r="B2" s="766" t="str">
        <f>+"Dashboard:  "&amp;"  "&amp;IF(+'Data Entry'!C4="Please Select","",'Data Entry'!C4&amp;" - ")&amp;IF('Data Entry'!G6="Please Select","",'Data Entry'!G6)</f>
        <v>Dashboard:    Ghana - MALARIA</v>
      </c>
      <c r="C2" s="766"/>
      <c r="D2" s="766"/>
      <c r="E2" s="766"/>
      <c r="F2" s="766"/>
      <c r="G2" s="766"/>
      <c r="H2" s="766"/>
      <c r="I2" s="766"/>
      <c r="J2" s="766"/>
      <c r="K2" s="766"/>
      <c r="L2" s="766"/>
      <c r="M2" s="26"/>
      <c r="N2" s="26"/>
      <c r="O2" s="26"/>
      <c r="P2" s="26"/>
    </row>
    <row r="3" spans="1:16" x14ac:dyDescent="0.2">
      <c r="B3" s="24" t="str">
        <f>+IF('Data Entry'!G8="Please Select","",'Data Entry'!G8)</f>
        <v/>
      </c>
      <c r="C3" s="773" t="str">
        <f>+IF('Data Entry'!I8="Please Select","",'Data Entry'!I8)</f>
        <v/>
      </c>
      <c r="D3" s="773"/>
      <c r="E3" s="768"/>
      <c r="F3" s="768"/>
      <c r="G3" s="768"/>
      <c r="H3" s="768"/>
      <c r="I3" s="768"/>
      <c r="J3" s="769" t="str">
        <f>+'Data Entry'!B16</f>
        <v>Report Period:</v>
      </c>
      <c r="K3" s="769"/>
      <c r="L3" s="201" t="str">
        <f>+'Data Entry'!C16</f>
        <v>P7</v>
      </c>
    </row>
    <row r="4" spans="1:16" x14ac:dyDescent="0.2">
      <c r="B4" s="24" t="str">
        <f>+'Data Entry'!B12</f>
        <v>Latest Rating:</v>
      </c>
      <c r="C4" s="744" t="str">
        <f>+IF('Data Entry'!C12="Please Select","",'Data Entry'!C12)</f>
        <v>B1</v>
      </c>
      <c r="D4" s="744"/>
      <c r="E4" s="768" t="str">
        <f>+'Data Entry'!C8</f>
        <v>MOH</v>
      </c>
      <c r="F4" s="768"/>
      <c r="G4" s="768"/>
      <c r="H4" s="768"/>
      <c r="I4" s="768"/>
      <c r="J4" s="769" t="str">
        <f>+'Data Entry'!D16</f>
        <v>From:</v>
      </c>
      <c r="K4" s="777"/>
      <c r="L4" s="203" t="str">
        <f>+IF(ISBLANK('Data Entry'!E16),"",'Data Entry'!E16)</f>
        <v>July</v>
      </c>
    </row>
    <row r="5" spans="1:16" ht="18.75" customHeight="1" x14ac:dyDescent="0.2">
      <c r="B5" s="24"/>
      <c r="C5" s="24"/>
      <c r="D5" s="768" t="str">
        <f>+'Data Entry'!G4</f>
        <v>Accelerating access to Prevention, treatment and home based care for malaria and increasing the access to affordable ACTs in the private Sector</v>
      </c>
      <c r="E5" s="768"/>
      <c r="F5" s="768"/>
      <c r="G5" s="768"/>
      <c r="H5" s="768"/>
      <c r="I5" s="768"/>
      <c r="J5" s="768"/>
      <c r="K5" s="24" t="str">
        <f>+'Data Entry'!F16</f>
        <v>To:</v>
      </c>
      <c r="L5" s="203" t="str">
        <f>+IF(ISBLANK('Data Entry'!G16),"",'Data Entry'!G16)</f>
        <v>Sept</v>
      </c>
    </row>
    <row r="6" spans="1:16" ht="19" x14ac:dyDescent="0.25">
      <c r="B6" s="23"/>
      <c r="C6" s="24"/>
      <c r="D6" s="25"/>
      <c r="E6" s="767" t="s">
        <v>70</v>
      </c>
      <c r="F6" s="767"/>
      <c r="G6" s="767"/>
      <c r="H6" s="767"/>
      <c r="I6" s="767"/>
    </row>
    <row r="7" spans="1:16" x14ac:dyDescent="0.2">
      <c r="B7" s="386" t="str">
        <f>+'Data Entry'!B69&amp;"                "&amp;+J3&amp;" "&amp;+L3</f>
        <v>M1: Status of Conditions Precedent (CPs) and Time Bound Actions (TBAs)                Report Period: P7</v>
      </c>
      <c r="C7" s="21"/>
      <c r="H7" s="386" t="str">
        <f>+'Data Entry'!B76&amp;"                                                                             "&amp;+J3&amp;"  "&amp;+L3</f>
        <v>M2: Status of key PR management positions                                                                             Report Period:  P7</v>
      </c>
    </row>
    <row r="8" spans="1:16" x14ac:dyDescent="0.2">
      <c r="B8" s="361" t="s">
        <v>9</v>
      </c>
      <c r="C8" s="760" t="s">
        <v>485</v>
      </c>
      <c r="D8" s="761"/>
      <c r="E8" s="761"/>
      <c r="F8" s="762"/>
      <c r="G8" s="387"/>
      <c r="H8" s="360" t="s">
        <v>9</v>
      </c>
      <c r="I8" s="778" t="s">
        <v>484</v>
      </c>
      <c r="J8" s="779"/>
      <c r="K8" s="779"/>
      <c r="L8" s="780"/>
    </row>
    <row r="9" spans="1:16" x14ac:dyDescent="0.2">
      <c r="B9" s="19"/>
      <c r="C9" s="19"/>
      <c r="D9" s="19"/>
      <c r="E9" s="19"/>
      <c r="F9" s="19"/>
      <c r="G9" s="19"/>
      <c r="H9" s="19"/>
    </row>
    <row r="10" spans="1:16" x14ac:dyDescent="0.2">
      <c r="A10" s="47"/>
      <c r="B10" s="19"/>
      <c r="C10" s="19"/>
      <c r="D10" s="772"/>
      <c r="E10" s="554"/>
      <c r="F10" s="554"/>
      <c r="G10" s="210"/>
      <c r="H10" s="19"/>
      <c r="N10" s="49"/>
      <c r="O10" s="49"/>
      <c r="P10" s="48"/>
    </row>
    <row r="11" spans="1:16" x14ac:dyDescent="0.2">
      <c r="B11" s="19"/>
      <c r="C11" s="28"/>
      <c r="D11" s="772"/>
      <c r="E11" s="28"/>
      <c r="F11" s="28"/>
      <c r="G11" s="28"/>
      <c r="H11" s="28"/>
      <c r="N11" s="19"/>
      <c r="O11" s="19"/>
    </row>
    <row r="12" spans="1:16" x14ac:dyDescent="0.2">
      <c r="B12" s="28"/>
      <c r="C12" s="79"/>
      <c r="D12" s="80"/>
      <c r="E12" s="80"/>
      <c r="F12" s="80"/>
      <c r="G12" s="80"/>
      <c r="H12" s="81"/>
    </row>
    <row r="13" spans="1:16" x14ac:dyDescent="0.2">
      <c r="B13" s="28"/>
      <c r="C13" s="79"/>
      <c r="D13" s="80"/>
      <c r="E13" s="80"/>
      <c r="F13" s="80"/>
      <c r="G13" s="80"/>
      <c r="H13" s="81"/>
    </row>
    <row r="15" spans="1:16" ht="27.75" customHeight="1" x14ac:dyDescent="0.2">
      <c r="B15" s="386" t="str">
        <f>+'Data Entry'!B81&amp;"                                                                                                  "&amp;+J3&amp;" "&amp;+L3</f>
        <v>M3: Contractual arrangements (SRs)                                                                                                   Report Period: P7</v>
      </c>
      <c r="H15" s="386" t="str">
        <f>+'Data Entry'!B86&amp;"                                                             "&amp;+J3&amp;" "&amp;+L3</f>
        <v>M4: Number of complete reports received on time                                                             Report Period: P7</v>
      </c>
    </row>
    <row r="16" spans="1:16" x14ac:dyDescent="0.2">
      <c r="B16" s="361" t="s">
        <v>9</v>
      </c>
      <c r="C16" s="757" t="s">
        <v>482</v>
      </c>
      <c r="D16" s="758"/>
      <c r="E16" s="758"/>
      <c r="F16" s="759"/>
      <c r="G16" s="387"/>
      <c r="H16" s="360" t="s">
        <v>9</v>
      </c>
      <c r="I16" s="757" t="s">
        <v>483</v>
      </c>
      <c r="J16" s="770"/>
      <c r="K16" s="770"/>
      <c r="L16" s="771"/>
    </row>
    <row r="17" spans="2:13" x14ac:dyDescent="0.2">
      <c r="B17" s="29"/>
      <c r="H17" s="30"/>
    </row>
    <row r="18" spans="2:13" x14ac:dyDescent="0.2">
      <c r="M18" s="83"/>
    </row>
    <row r="26" spans="2:13" x14ac:dyDescent="0.2">
      <c r="B26" s="386" t="str">
        <f>+'Data Entry'!B92</f>
        <v>M5: Budget and Procurement of health products, health equipment, medicines and pharmaceuticals</v>
      </c>
      <c r="H26" s="386" t="str">
        <f>+'Data Entry'!B105&amp;"                                                                "&amp;+J3&amp;"  "&amp;+L3</f>
        <v>M6: Difference between current and safety stock                                                                Report Period:  P7</v>
      </c>
    </row>
    <row r="27" spans="2:13" x14ac:dyDescent="0.2">
      <c r="B27" s="359" t="s">
        <v>9</v>
      </c>
      <c r="C27" s="751"/>
      <c r="D27" s="764"/>
      <c r="E27" s="764"/>
      <c r="F27" s="765"/>
      <c r="G27" s="387"/>
      <c r="H27" s="360" t="s">
        <v>9</v>
      </c>
      <c r="I27" s="754"/>
      <c r="J27" s="755"/>
      <c r="K27" s="755"/>
      <c r="L27" s="756"/>
    </row>
    <row r="28" spans="2:13" ht="16" thickBot="1" x14ac:dyDescent="0.25"/>
    <row r="29" spans="2:13" ht="44.25" customHeight="1" x14ac:dyDescent="0.2">
      <c r="F29" s="340"/>
      <c r="G29" s="340"/>
      <c r="H29" s="222" t="s">
        <v>33</v>
      </c>
      <c r="I29" s="336" t="s">
        <v>80</v>
      </c>
      <c r="J29" s="357" t="s">
        <v>343</v>
      </c>
      <c r="K29" s="221" t="s">
        <v>331</v>
      </c>
      <c r="L29" s="337" t="s">
        <v>330</v>
      </c>
    </row>
    <row r="30" spans="2:13" ht="15" customHeight="1" x14ac:dyDescent="0.2">
      <c r="F30" s="340"/>
      <c r="G30" s="340"/>
      <c r="H30" s="774" t="str">
        <f>+'Data Entry'!B108</f>
        <v>Please Select</v>
      </c>
      <c r="I30" s="338" t="str">
        <f>+'Data Entry'!C108</f>
        <v>Please Select</v>
      </c>
      <c r="J30" s="457" t="str">
        <f>+'Data Entry'!I108</f>
        <v/>
      </c>
      <c r="K30" s="458">
        <f>+'Data Entry'!J108</f>
        <v>0</v>
      </c>
      <c r="L30" s="435" t="str">
        <f>+'Data Entry'!K108</f>
        <v/>
      </c>
    </row>
    <row r="31" spans="2:13" x14ac:dyDescent="0.2">
      <c r="F31" s="340"/>
      <c r="G31" s="340"/>
      <c r="H31" s="775"/>
      <c r="I31" s="338" t="str">
        <f>+'Data Entry'!C109</f>
        <v>Please Select</v>
      </c>
      <c r="J31" s="457" t="str">
        <f>+'Data Entry'!I109</f>
        <v/>
      </c>
      <c r="K31" s="458">
        <f>+'Data Entry'!J109</f>
        <v>0</v>
      </c>
      <c r="L31" s="436" t="str">
        <f>+'Data Entry'!K109</f>
        <v/>
      </c>
    </row>
    <row r="32" spans="2:13" x14ac:dyDescent="0.2">
      <c r="F32" s="340"/>
      <c r="G32" s="340"/>
      <c r="H32" s="775"/>
      <c r="I32" s="338" t="str">
        <f>+'Data Entry'!C110</f>
        <v>Please Select</v>
      </c>
      <c r="J32" s="457" t="str">
        <f>+'Data Entry'!I110</f>
        <v/>
      </c>
      <c r="K32" s="458">
        <f>+'Data Entry'!J110</f>
        <v>0</v>
      </c>
      <c r="L32" s="435" t="str">
        <f>+'Data Entry'!K110</f>
        <v/>
      </c>
    </row>
    <row r="33" spans="2:12" ht="16" thickBot="1" x14ac:dyDescent="0.25">
      <c r="F33" s="340"/>
      <c r="G33" s="340"/>
      <c r="H33" s="776"/>
      <c r="I33" s="339" t="str">
        <f>+'Data Entry'!C111</f>
        <v>Please Select</v>
      </c>
      <c r="J33" s="459" t="str">
        <f>+'Data Entry'!I111</f>
        <v/>
      </c>
      <c r="K33" s="460">
        <f>+'Data Entry'!J111</f>
        <v>0</v>
      </c>
      <c r="L33" s="435" t="str">
        <f>+'Data Entry'!K111</f>
        <v/>
      </c>
    </row>
    <row r="34" spans="2:12" ht="24.75" customHeight="1" x14ac:dyDescent="0.2">
      <c r="B34" s="763" t="str">
        <f>+'Data Entry'!B102</f>
        <v>* Includes only EFR category 4 and 5  (Health products and health equipment &amp; Medicines and Pharmaceuticals)</v>
      </c>
      <c r="C34" s="763"/>
      <c r="D34" s="763"/>
      <c r="E34" s="763"/>
      <c r="F34" s="19"/>
      <c r="G34" s="19"/>
      <c r="H34" s="218"/>
      <c r="I34" s="219"/>
      <c r="J34" s="220"/>
      <c r="K34" s="210"/>
      <c r="L34" s="20"/>
    </row>
    <row r="35" spans="2:12" x14ac:dyDescent="0.2">
      <c r="F35" s="19"/>
      <c r="G35" s="19"/>
      <c r="H35" s="19"/>
      <c r="I35" s="19"/>
      <c r="J35" s="19"/>
      <c r="K35" s="19"/>
      <c r="L35" s="19"/>
    </row>
  </sheetData>
  <mergeCells count="19">
    <mergeCell ref="H30:H33"/>
    <mergeCell ref="J4:K4"/>
    <mergeCell ref="I8:L8"/>
    <mergeCell ref="D5:J5"/>
    <mergeCell ref="I16:L16"/>
    <mergeCell ref="I27:L27"/>
    <mergeCell ref="D10:D11"/>
    <mergeCell ref="C3:D3"/>
    <mergeCell ref="E4:I4"/>
    <mergeCell ref="B2:L2"/>
    <mergeCell ref="C4:D4"/>
    <mergeCell ref="E6:I6"/>
    <mergeCell ref="E3:I3"/>
    <mergeCell ref="J3:K3"/>
    <mergeCell ref="C16:F16"/>
    <mergeCell ref="E10:F10"/>
    <mergeCell ref="C8:F8"/>
    <mergeCell ref="B34:E34"/>
    <mergeCell ref="C27:F27"/>
  </mergeCells>
  <phoneticPr fontId="30" type="noConversion"/>
  <conditionalFormatting sqref="D12:D13">
    <cfRule type="cellIs" dxfId="23" priority="1" stopIfTrue="1" operator="greaterThan">
      <formula>0</formula>
    </cfRule>
  </conditionalFormatting>
  <conditionalFormatting sqref="E12:E13">
    <cfRule type="cellIs" dxfId="22" priority="2" stopIfTrue="1" operator="greaterThan">
      <formula>0</formula>
    </cfRule>
  </conditionalFormatting>
  <conditionalFormatting sqref="F12:G13">
    <cfRule type="cellIs" dxfId="21" priority="3" stopIfTrue="1" operator="greaterThan">
      <formula>0</formula>
    </cfRule>
  </conditionalFormatting>
  <conditionalFormatting sqref="C4:D4">
    <cfRule type="cellIs" dxfId="20" priority="4" stopIfTrue="1" operator="equal">
      <formula>"C"</formula>
    </cfRule>
    <cfRule type="cellIs" dxfId="19" priority="5" stopIfTrue="1" operator="equal">
      <formula>"B2"</formula>
    </cfRule>
    <cfRule type="cellIs" dxfId="18" priority="6" stopIfTrue="1" operator="equal">
      <formula>"B1"</formula>
    </cfRule>
  </conditionalFormatting>
  <conditionalFormatting sqref="L30 L32:L33">
    <cfRule type="cellIs" dxfId="17" priority="13" stopIfTrue="1" operator="lessThan">
      <formula>1</formula>
    </cfRule>
    <cfRule type="cellIs" dxfId="16" priority="14" stopIfTrue="1" operator="between">
      <formula>3</formula>
      <formula>17</formula>
    </cfRule>
    <cfRule type="cellIs" dxfId="15" priority="15" stopIfTrue="1" operator="between">
      <formula>1</formula>
      <formula>3</formula>
    </cfRule>
  </conditionalFormatting>
  <conditionalFormatting sqref="L31">
    <cfRule type="cellIs" dxfId="14" priority="16" stopIfTrue="1" operator="lessThan">
      <formula>1</formula>
    </cfRule>
    <cfRule type="cellIs" dxfId="13" priority="17" stopIfTrue="1" operator="between">
      <formula>3</formula>
      <formula>100</formula>
    </cfRule>
    <cfRule type="cellIs" dxfId="12" priority="18"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headerFooter>
    <oddFooter>&amp;L&amp;F&amp;C&amp;A&amp;RV1.0          &amp;D</oddFooter>
  </headerFooter>
  <colBreaks count="1" manualBreakCount="1">
    <brk id="12" max="33" man="1"/>
  </col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1"/>
  </sheetPr>
  <dimension ref="A1:AI46"/>
  <sheetViews>
    <sheetView showGridLines="0" topLeftCell="A25" zoomScale="160" zoomScaleNormal="160" zoomScalePageLayoutView="160" workbookViewId="0">
      <selection activeCell="L28" sqref="L28:Q28"/>
    </sheetView>
  </sheetViews>
  <sheetFormatPr baseColWidth="10" defaultColWidth="11" defaultRowHeight="15" x14ac:dyDescent="0.2"/>
  <cols>
    <col min="1" max="1" width="0.5" customWidth="1"/>
    <col min="2" max="2" width="11.33203125" customWidth="1"/>
    <col min="3" max="3" width="16.1640625" customWidth="1"/>
    <col min="4" max="4" width="17.33203125" customWidth="1"/>
    <col min="5" max="5" width="13.5" customWidth="1"/>
    <col min="6" max="6" width="9.1640625" customWidth="1"/>
    <col min="7" max="7" width="5.6640625" customWidth="1"/>
    <col min="8" max="8" width="6.33203125" customWidth="1"/>
    <col min="9" max="9" width="6" customWidth="1"/>
    <col min="10" max="10" width="4.1640625" customWidth="1"/>
    <col min="11" max="11" width="12.5" customWidth="1"/>
    <col min="12" max="12" width="8.5" customWidth="1"/>
    <col min="13" max="13" width="5" customWidth="1"/>
    <col min="14" max="14" width="6.5" customWidth="1"/>
    <col min="15" max="15" width="4.1640625" customWidth="1"/>
    <col min="16" max="16" width="10.6640625" customWidth="1"/>
    <col min="17" max="17" width="11.6640625" customWidth="1"/>
    <col min="18" max="18" width="6.5" customWidth="1"/>
  </cols>
  <sheetData>
    <row r="1" spans="1:35" ht="26.25" customHeight="1" x14ac:dyDescent="0.2">
      <c r="A1" s="3"/>
      <c r="B1" s="3"/>
      <c r="C1" s="3"/>
      <c r="D1" s="3"/>
      <c r="E1" s="3"/>
      <c r="F1" s="3"/>
      <c r="G1" s="3"/>
      <c r="H1" s="3"/>
      <c r="I1" s="3"/>
      <c r="J1" s="3"/>
      <c r="K1" s="3"/>
      <c r="L1" s="3"/>
      <c r="M1" s="3"/>
      <c r="N1" s="3"/>
      <c r="O1" s="3"/>
      <c r="P1" s="3"/>
    </row>
    <row r="2" spans="1:35" ht="21.75" customHeight="1" x14ac:dyDescent="0.2">
      <c r="A2" s="3"/>
      <c r="B2" s="781" t="str">
        <f>+"Dashboard:  "&amp;"  "&amp;IF(+'Data Entry'!C4="Please Select","",'Data Entry'!C4&amp;" - ")&amp;IF('Data Entry'!G6="Please Select","",'Data Entry'!G6)</f>
        <v>Dashboard:    Ghana - MALARIA</v>
      </c>
      <c r="C2" s="781"/>
      <c r="D2" s="781"/>
      <c r="E2" s="781"/>
      <c r="F2" s="781"/>
      <c r="G2" s="781"/>
      <c r="H2" s="781"/>
      <c r="I2" s="781"/>
      <c r="J2" s="781"/>
      <c r="K2" s="781"/>
      <c r="L2" s="781"/>
      <c r="M2" s="781"/>
      <c r="N2" s="781"/>
      <c r="O2" s="781"/>
      <c r="P2" s="781"/>
      <c r="Q2" s="781"/>
    </row>
    <row r="3" spans="1:35" ht="19" x14ac:dyDescent="0.25">
      <c r="A3" s="3"/>
      <c r="B3" s="135" t="str">
        <f>+IF('Data Entry'!G8="Please Select","",'Data Entry'!G8)</f>
        <v/>
      </c>
      <c r="C3" s="743" t="str">
        <f>+IF('Data Entry'!I8="Please Select","",'Data Entry'!I8)</f>
        <v/>
      </c>
      <c r="D3" s="743"/>
      <c r="E3" s="742"/>
      <c r="F3" s="742"/>
      <c r="G3" s="742"/>
      <c r="H3" s="742"/>
      <c r="I3" s="784"/>
      <c r="J3" s="784"/>
      <c r="K3" s="784"/>
      <c r="L3" s="3"/>
      <c r="M3" s="3"/>
      <c r="O3" s="740" t="str">
        <f>+'Data Entry'!B16</f>
        <v>Report Period:</v>
      </c>
      <c r="P3" s="740"/>
      <c r="Q3" s="202" t="str">
        <f>+'Data Entry'!C16</f>
        <v>P7</v>
      </c>
    </row>
    <row r="4" spans="1:35" ht="12" customHeight="1" x14ac:dyDescent="0.2">
      <c r="A4" s="3"/>
      <c r="B4" s="135" t="str">
        <f>+'Data Entry'!B12</f>
        <v>Latest Rating:</v>
      </c>
      <c r="C4" s="785" t="str">
        <f>+IF('Data Entry'!C12="Please Select","",'Data Entry'!C12)</f>
        <v>B1</v>
      </c>
      <c r="D4" s="785"/>
      <c r="E4" s="742" t="str">
        <f>+'Data Entry'!C8</f>
        <v>MOH</v>
      </c>
      <c r="F4" s="742"/>
      <c r="G4" s="742"/>
      <c r="H4" s="742"/>
      <c r="I4" s="742"/>
      <c r="J4" s="742"/>
      <c r="K4" s="742"/>
      <c r="L4" s="742"/>
      <c r="M4" s="3"/>
      <c r="O4" s="342"/>
      <c r="P4" s="135" t="str">
        <f>+'Data Entry'!D16</f>
        <v>From:</v>
      </c>
      <c r="Q4" s="343" t="str">
        <f>+IF(ISBLANK('Data Entry'!E16),"",'Data Entry'!E16)</f>
        <v>July</v>
      </c>
      <c r="Y4" s="71"/>
      <c r="Z4" s="71"/>
      <c r="AA4" s="71"/>
      <c r="AB4" s="71"/>
      <c r="AC4" s="71"/>
    </row>
    <row r="5" spans="1:35" ht="15.75" customHeight="1" x14ac:dyDescent="0.2">
      <c r="A5" s="3"/>
      <c r="B5" s="135"/>
      <c r="C5" s="135"/>
      <c r="D5" s="742" t="str">
        <f>+'Data Entry'!G4</f>
        <v>Accelerating access to Prevention, treatment and home based care for malaria and increasing the access to affordable ACTs in the private Sector</v>
      </c>
      <c r="E5" s="742"/>
      <c r="F5" s="742"/>
      <c r="G5" s="742"/>
      <c r="H5" s="742"/>
      <c r="I5" s="742"/>
      <c r="J5" s="742"/>
      <c r="K5" s="742"/>
      <c r="L5" s="742"/>
      <c r="M5" s="742"/>
      <c r="N5" s="742"/>
      <c r="P5" s="135" t="str">
        <f>+'Data Entry'!F16</f>
        <v>To:</v>
      </c>
      <c r="Q5" s="343" t="str">
        <f>+IF(ISBLANK('Data Entry'!G16),"",'Data Entry'!G16)</f>
        <v>Sept</v>
      </c>
      <c r="S5" s="229"/>
      <c r="T5" s="229"/>
      <c r="U5" s="229"/>
      <c r="V5" s="229"/>
      <c r="W5" s="229"/>
      <c r="X5" s="229"/>
      <c r="Y5" s="71"/>
      <c r="Z5" s="71"/>
      <c r="AA5" s="71" t="s">
        <v>43</v>
      </c>
      <c r="AB5" s="71"/>
      <c r="AC5" s="71" t="s">
        <v>265</v>
      </c>
      <c r="AD5" s="229"/>
      <c r="AE5" s="229"/>
      <c r="AF5" s="229"/>
      <c r="AG5" s="229"/>
      <c r="AH5" s="229"/>
      <c r="AI5" s="229"/>
    </row>
    <row r="6" spans="1:35" ht="15.75" customHeight="1" x14ac:dyDescent="0.25">
      <c r="A6" s="3"/>
      <c r="B6" s="135"/>
      <c r="C6" s="135"/>
      <c r="D6" s="227"/>
      <c r="E6" s="227"/>
      <c r="F6" s="783" t="s">
        <v>393</v>
      </c>
      <c r="G6" s="783"/>
      <c r="H6" s="783"/>
      <c r="I6" s="783"/>
      <c r="J6" s="783"/>
      <c r="K6" s="783"/>
      <c r="L6" s="227"/>
      <c r="M6" s="3"/>
      <c r="N6" s="3"/>
      <c r="O6" s="204"/>
      <c r="P6" s="262"/>
      <c r="S6" s="229"/>
      <c r="T6" s="229"/>
      <c r="U6" s="229"/>
      <c r="V6" s="229"/>
      <c r="W6" s="229"/>
      <c r="X6" s="229"/>
      <c r="Y6" s="71"/>
      <c r="Z6" s="71"/>
      <c r="AA6" s="71"/>
      <c r="AB6" s="71"/>
      <c r="AC6" s="71"/>
      <c r="AD6" s="229"/>
      <c r="AE6" s="229"/>
      <c r="AF6" s="229"/>
      <c r="AG6" s="229"/>
      <c r="AH6" s="229"/>
      <c r="AI6" s="229"/>
    </row>
    <row r="7" spans="1:35" ht="3" customHeight="1" x14ac:dyDescent="0.2">
      <c r="A7" s="3"/>
      <c r="B7" s="135"/>
      <c r="C7" s="135"/>
      <c r="D7" s="227"/>
      <c r="E7" s="227"/>
      <c r="F7" s="227"/>
      <c r="G7" s="227"/>
      <c r="H7" s="227"/>
      <c r="I7" s="227"/>
      <c r="J7" s="227"/>
      <c r="K7" s="227"/>
      <c r="L7" s="227"/>
      <c r="M7" s="3"/>
      <c r="N7" s="3"/>
      <c r="O7" s="204"/>
      <c r="P7" s="203"/>
      <c r="Q7" s="203"/>
      <c r="S7" s="229"/>
      <c r="T7" s="229"/>
      <c r="U7" s="229"/>
      <c r="V7" s="229"/>
      <c r="W7" s="229"/>
      <c r="X7" s="229"/>
      <c r="Y7" s="71"/>
      <c r="Z7" s="71"/>
      <c r="AA7" s="71"/>
      <c r="AB7" s="71"/>
      <c r="AC7" s="71"/>
      <c r="AD7" s="229"/>
      <c r="AE7" s="229"/>
      <c r="AF7" s="229"/>
      <c r="AG7" s="229"/>
      <c r="AH7" s="229"/>
      <c r="AI7" s="229"/>
    </row>
    <row r="8" spans="1:35" ht="18.75" customHeight="1" x14ac:dyDescent="0.2">
      <c r="A8" s="3"/>
      <c r="B8" s="782" t="str">
        <f>+'Data Entry'!B118</f>
        <v>Pr1. Proportion of estimated malaria cases (presumed and confirmed) that received first line anti-malarial treatment at health facilities</v>
      </c>
      <c r="C8" s="782"/>
      <c r="D8" s="782"/>
      <c r="E8" s="782"/>
      <c r="F8" s="782" t="str">
        <f>+'Data Entry'!B120</f>
        <v>Pr2. %  Proportion of pregnant women attending antenatal clinics who received three or more doses of intermittent preventive treatment (IPTp) for malaria</v>
      </c>
      <c r="G8" s="782"/>
      <c r="H8" s="782"/>
      <c r="I8" s="782"/>
      <c r="J8" s="782"/>
      <c r="K8" s="782"/>
      <c r="L8" s="782" t="str">
        <f>+'Data Entry'!B122</f>
        <v>Pr3. Number of long-lasting insecticidal nets distributed to at-risk populations through mass campaigns</v>
      </c>
      <c r="M8" s="782"/>
      <c r="N8" s="782"/>
      <c r="O8" s="782"/>
      <c r="P8" s="782"/>
      <c r="Q8" s="782"/>
      <c r="S8" s="229"/>
      <c r="T8" s="229"/>
      <c r="U8" s="229"/>
      <c r="V8" s="229"/>
      <c r="W8" s="229"/>
      <c r="X8" s="229"/>
      <c r="Y8" s="71"/>
      <c r="Z8" s="71"/>
      <c r="AA8" s="71"/>
      <c r="AB8" s="71"/>
      <c r="AC8" s="71"/>
      <c r="AD8" s="229"/>
      <c r="AE8" s="229"/>
      <c r="AF8" s="229"/>
      <c r="AG8" s="229"/>
      <c r="AH8" s="229"/>
      <c r="AI8" s="229"/>
    </row>
    <row r="9" spans="1:35" ht="24" customHeight="1" x14ac:dyDescent="0.2">
      <c r="A9" s="3"/>
      <c r="B9" s="487" t="s">
        <v>411</v>
      </c>
      <c r="C9" s="816" t="s">
        <v>470</v>
      </c>
      <c r="D9" s="817"/>
      <c r="E9" s="818"/>
      <c r="F9" s="487" t="s">
        <v>412</v>
      </c>
      <c r="G9" s="816" t="s">
        <v>469</v>
      </c>
      <c r="H9" s="817"/>
      <c r="I9" s="817"/>
      <c r="J9" s="817"/>
      <c r="K9" s="818"/>
      <c r="L9" s="487" t="s">
        <v>413</v>
      </c>
      <c r="M9" s="816" t="s">
        <v>468</v>
      </c>
      <c r="N9" s="819"/>
      <c r="O9" s="819"/>
      <c r="P9" s="819"/>
      <c r="Q9" s="820"/>
      <c r="S9" s="229"/>
      <c r="T9" s="229"/>
      <c r="U9" s="229"/>
      <c r="V9" s="229"/>
      <c r="W9" s="229"/>
      <c r="X9" s="229"/>
      <c r="Y9" s="229"/>
      <c r="Z9" s="229"/>
      <c r="AA9" s="229"/>
      <c r="AB9" s="229"/>
      <c r="AC9" s="229"/>
      <c r="AD9" s="229"/>
      <c r="AE9" s="229"/>
      <c r="AF9" s="229"/>
      <c r="AG9" s="229"/>
      <c r="AH9" s="229"/>
      <c r="AI9" s="229"/>
    </row>
    <row r="10" spans="1:35" ht="18.75" customHeight="1" x14ac:dyDescent="0.2">
      <c r="A10" s="3"/>
      <c r="B10" s="135"/>
      <c r="C10" s="135"/>
      <c r="D10" s="227"/>
      <c r="E10" s="227"/>
      <c r="F10" s="227"/>
      <c r="G10" s="227"/>
      <c r="H10" s="227"/>
      <c r="I10" s="227"/>
      <c r="J10" s="227"/>
      <c r="K10" s="227"/>
      <c r="L10" s="227"/>
      <c r="M10" s="3"/>
      <c r="N10" s="3"/>
      <c r="O10" s="204"/>
      <c r="P10" s="203"/>
      <c r="S10" s="229"/>
      <c r="T10" s="229"/>
      <c r="U10" s="229"/>
      <c r="V10" s="229"/>
      <c r="W10" s="229"/>
      <c r="X10" s="229"/>
      <c r="Y10" s="229"/>
      <c r="Z10" s="229"/>
      <c r="AA10" s="229"/>
      <c r="AB10" s="229"/>
      <c r="AC10" s="229"/>
      <c r="AD10" s="229"/>
      <c r="AE10" s="229"/>
      <c r="AF10" s="229"/>
      <c r="AG10" s="229"/>
      <c r="AH10" s="229"/>
      <c r="AI10" s="229"/>
    </row>
    <row r="11" spans="1:35" ht="18.75" customHeight="1" x14ac:dyDescent="0.2">
      <c r="A11" s="3"/>
      <c r="B11" s="135"/>
      <c r="C11" s="135"/>
      <c r="D11" s="227"/>
      <c r="E11" s="227"/>
      <c r="F11" s="227"/>
      <c r="G11" s="227"/>
      <c r="H11" s="227"/>
      <c r="I11" s="227"/>
      <c r="J11" s="227"/>
      <c r="K11" s="227"/>
      <c r="L11" s="227"/>
      <c r="M11" s="3"/>
      <c r="N11" s="3"/>
      <c r="O11" s="204"/>
      <c r="P11" s="203"/>
      <c r="S11" s="229"/>
      <c r="T11" s="229"/>
      <c r="U11" s="229"/>
      <c r="V11" s="229"/>
      <c r="W11" s="229"/>
      <c r="X11" s="229"/>
      <c r="Y11" s="229"/>
      <c r="Z11" s="229"/>
      <c r="AA11" s="229"/>
      <c r="AB11" s="229"/>
      <c r="AC11" s="229"/>
      <c r="AD11" s="229"/>
      <c r="AE11" s="229"/>
      <c r="AF11" s="229"/>
      <c r="AG11" s="229"/>
      <c r="AH11" s="229"/>
      <c r="AI11" s="229"/>
    </row>
    <row r="12" spans="1:35" ht="18.75" customHeight="1" x14ac:dyDescent="0.2">
      <c r="A12" s="3"/>
      <c r="B12" s="135"/>
      <c r="C12" s="135"/>
      <c r="D12" s="227"/>
      <c r="E12" s="227"/>
      <c r="F12" s="227"/>
      <c r="G12" s="227"/>
      <c r="H12" s="227"/>
      <c r="I12" s="227"/>
      <c r="J12" s="227"/>
      <c r="K12" s="227"/>
      <c r="L12" s="227"/>
      <c r="M12" s="3"/>
      <c r="N12" s="3"/>
      <c r="O12" s="204"/>
      <c r="P12" s="203"/>
      <c r="S12" s="229"/>
      <c r="T12" s="229"/>
      <c r="U12" s="229"/>
      <c r="V12" s="229"/>
      <c r="W12" s="229"/>
      <c r="X12" s="229"/>
      <c r="Y12" s="229"/>
      <c r="Z12" s="229"/>
      <c r="AA12" s="229"/>
      <c r="AB12" s="229"/>
      <c r="AC12" s="229"/>
      <c r="AD12" s="229"/>
      <c r="AE12" s="229"/>
      <c r="AF12" s="229"/>
      <c r="AG12" s="229"/>
      <c r="AH12" s="229"/>
      <c r="AI12" s="229"/>
    </row>
    <row r="13" spans="1:35" ht="18.75" customHeight="1" x14ac:dyDescent="0.2">
      <c r="A13" s="3"/>
      <c r="B13" s="135"/>
      <c r="C13" s="135"/>
      <c r="D13" s="227"/>
      <c r="E13" s="227"/>
      <c r="F13" s="227"/>
      <c r="G13" s="227"/>
      <c r="H13" s="227"/>
      <c r="I13" s="227"/>
      <c r="J13" s="227"/>
      <c r="K13" s="227"/>
      <c r="L13" s="227"/>
      <c r="M13" s="3"/>
      <c r="N13" s="3"/>
      <c r="O13" s="204"/>
      <c r="P13" s="203"/>
      <c r="S13" s="229"/>
      <c r="T13" s="229"/>
      <c r="U13" s="229"/>
      <c r="V13" s="229"/>
      <c r="W13" s="229"/>
      <c r="X13" s="229"/>
      <c r="Y13" s="229"/>
      <c r="Z13" s="229"/>
      <c r="AA13" s="229"/>
      <c r="AB13" s="229"/>
      <c r="AC13" s="229"/>
      <c r="AD13" s="229"/>
      <c r="AE13" s="229"/>
      <c r="AF13" s="229"/>
      <c r="AG13" s="229"/>
      <c r="AH13" s="229"/>
      <c r="AI13" s="229"/>
    </row>
    <row r="14" spans="1:35" ht="18.75" customHeight="1" x14ac:dyDescent="0.2">
      <c r="A14" s="3"/>
      <c r="B14" s="135"/>
      <c r="C14" s="135"/>
      <c r="D14" s="227"/>
      <c r="E14" s="227"/>
      <c r="F14" s="227"/>
      <c r="G14" s="227"/>
      <c r="H14" s="227"/>
      <c r="I14" s="227"/>
      <c r="J14" s="227"/>
      <c r="K14" s="227"/>
      <c r="L14" s="227"/>
      <c r="M14" s="3"/>
      <c r="N14" s="3"/>
      <c r="O14" s="204"/>
      <c r="P14" s="203"/>
      <c r="S14" s="229"/>
      <c r="T14" s="229"/>
      <c r="U14" s="229"/>
      <c r="V14" s="229"/>
      <c r="W14" s="229"/>
      <c r="X14" s="229"/>
      <c r="Y14" s="229"/>
      <c r="Z14" s="229"/>
      <c r="AA14" s="229"/>
      <c r="AB14" s="229"/>
      <c r="AC14" s="229"/>
      <c r="AD14" s="229"/>
      <c r="AE14" s="229"/>
      <c r="AF14" s="229"/>
      <c r="AG14" s="229"/>
      <c r="AH14" s="229"/>
      <c r="AI14" s="229"/>
    </row>
    <row r="15" spans="1:35" ht="18.75" customHeight="1" x14ac:dyDescent="0.2">
      <c r="A15" s="3"/>
      <c r="B15" s="135"/>
      <c r="C15" s="135"/>
      <c r="D15" s="227"/>
      <c r="E15" s="227"/>
      <c r="F15" s="227"/>
      <c r="G15" s="227"/>
      <c r="H15" s="227"/>
      <c r="I15" s="227"/>
      <c r="J15" s="227"/>
      <c r="K15" s="227"/>
      <c r="L15" s="227"/>
      <c r="M15" s="3"/>
      <c r="N15" s="3"/>
      <c r="O15" s="204"/>
      <c r="P15" s="203"/>
      <c r="S15" s="229"/>
      <c r="T15" s="229"/>
      <c r="U15" s="229"/>
      <c r="V15" s="229"/>
      <c r="W15" s="229"/>
      <c r="X15" s="229"/>
      <c r="Y15" s="229"/>
      <c r="Z15" s="229"/>
      <c r="AA15" s="229"/>
      <c r="AB15" s="229"/>
      <c r="AC15" s="229"/>
      <c r="AD15" s="229"/>
      <c r="AE15" s="229"/>
      <c r="AF15" s="229"/>
      <c r="AG15" s="229"/>
      <c r="AH15" s="229"/>
      <c r="AI15" s="229"/>
    </row>
    <row r="16" spans="1:35" ht="18.75" customHeight="1" x14ac:dyDescent="0.2">
      <c r="A16" s="3"/>
      <c r="B16" s="135"/>
      <c r="C16" s="135"/>
      <c r="D16" s="227"/>
      <c r="E16" s="227"/>
      <c r="F16" s="227"/>
      <c r="G16" s="227"/>
      <c r="H16" s="227"/>
      <c r="I16" s="227"/>
      <c r="J16" s="227"/>
      <c r="K16" s="227"/>
      <c r="L16" s="227"/>
      <c r="M16" s="3"/>
      <c r="N16" s="3"/>
      <c r="O16" s="204"/>
      <c r="P16" s="203"/>
      <c r="S16" s="229"/>
      <c r="T16" s="229"/>
      <c r="U16" s="229"/>
      <c r="V16" s="229"/>
      <c r="W16" s="229"/>
      <c r="X16" s="229"/>
      <c r="Y16" s="229"/>
      <c r="Z16" s="229"/>
      <c r="AA16" s="229"/>
      <c r="AB16" s="229"/>
      <c r="AC16" s="229"/>
      <c r="AD16" s="229"/>
      <c r="AE16" s="229"/>
      <c r="AF16" s="229"/>
      <c r="AG16" s="229"/>
      <c r="AH16" s="229"/>
      <c r="AI16" s="229"/>
    </row>
    <row r="17" spans="1:35" ht="17.25" customHeight="1" x14ac:dyDescent="0.2">
      <c r="A17" s="3"/>
      <c r="B17" s="135"/>
      <c r="C17" s="135"/>
      <c r="D17" s="227"/>
      <c r="E17" s="227"/>
      <c r="F17" s="227"/>
      <c r="G17" s="227"/>
      <c r="H17" s="227"/>
      <c r="I17" s="227"/>
      <c r="J17" s="227"/>
      <c r="K17" s="227"/>
      <c r="L17" s="227"/>
      <c r="M17" s="3"/>
      <c r="N17" s="3"/>
      <c r="O17" s="204"/>
      <c r="P17" s="203"/>
      <c r="S17" s="229"/>
      <c r="T17" s="229"/>
      <c r="U17" s="229"/>
      <c r="V17" s="229"/>
      <c r="W17" s="229"/>
      <c r="X17" s="229"/>
      <c r="Y17" s="229"/>
      <c r="Z17" s="229"/>
      <c r="AA17" s="229"/>
      <c r="AB17" s="229"/>
      <c r="AC17" s="229"/>
      <c r="AD17" s="229"/>
      <c r="AE17" s="229"/>
      <c r="AF17" s="229"/>
      <c r="AG17" s="229"/>
      <c r="AH17" s="229"/>
      <c r="AI17" s="229"/>
    </row>
    <row r="18" spans="1:35" ht="6" customHeight="1" x14ac:dyDescent="0.25">
      <c r="A18" s="3"/>
      <c r="B18" s="139"/>
      <c r="C18" s="135"/>
      <c r="D18" s="136"/>
      <c r="E18" s="800"/>
      <c r="F18" s="800"/>
      <c r="G18" s="800"/>
      <c r="H18" s="800"/>
      <c r="I18" s="800"/>
      <c r="J18" s="800"/>
      <c r="K18" s="800"/>
      <c r="L18" s="3"/>
      <c r="M18" s="3"/>
      <c r="N18" s="3"/>
      <c r="O18" s="3"/>
      <c r="P18" s="3"/>
      <c r="S18" s="229"/>
      <c r="T18" s="229"/>
      <c r="U18" s="229"/>
      <c r="V18" s="229"/>
      <c r="W18" s="229"/>
      <c r="X18" s="229"/>
      <c r="Y18" s="229"/>
      <c r="Z18" s="229"/>
      <c r="AA18" s="229"/>
      <c r="AB18" s="229"/>
      <c r="AC18" s="229"/>
      <c r="AD18" s="229"/>
      <c r="AE18" s="229"/>
      <c r="AF18" s="229"/>
      <c r="AG18" s="229"/>
      <c r="AH18" s="229"/>
      <c r="AI18" s="229"/>
    </row>
    <row r="19" spans="1:35" ht="24" customHeight="1" x14ac:dyDescent="0.2">
      <c r="A19" s="3"/>
      <c r="B19" s="801" t="s">
        <v>89</v>
      </c>
      <c r="C19" s="801"/>
      <c r="D19" s="801"/>
      <c r="E19" s="146" t="s">
        <v>86</v>
      </c>
      <c r="F19" s="146" t="s">
        <v>90</v>
      </c>
      <c r="G19" s="796" t="s">
        <v>332</v>
      </c>
      <c r="H19" s="797"/>
      <c r="I19" s="798" t="s">
        <v>333</v>
      </c>
      <c r="J19" s="799"/>
      <c r="K19" s="341" t="s">
        <v>334</v>
      </c>
      <c r="L19" s="786" t="s">
        <v>93</v>
      </c>
      <c r="M19" s="787"/>
      <c r="N19" s="787"/>
      <c r="O19" s="787"/>
      <c r="P19" s="787"/>
      <c r="Q19" s="788"/>
      <c r="S19" s="65" t="s">
        <v>91</v>
      </c>
      <c r="T19" s="66">
        <v>0</v>
      </c>
      <c r="U19" s="67">
        <v>0.3</v>
      </c>
      <c r="V19" s="67">
        <v>0.6</v>
      </c>
      <c r="W19" s="67">
        <v>0.9</v>
      </c>
      <c r="X19" s="67">
        <v>1</v>
      </c>
      <c r="Y19" s="71"/>
      <c r="Z19" s="71"/>
      <c r="AA19" s="65" t="s">
        <v>91</v>
      </c>
      <c r="AB19" s="66">
        <v>0</v>
      </c>
      <c r="AC19" s="67">
        <v>0.2</v>
      </c>
      <c r="AD19" s="67">
        <v>0.4</v>
      </c>
      <c r="AE19" s="67">
        <v>0.6</v>
      </c>
      <c r="AF19" s="67">
        <v>0.8</v>
      </c>
      <c r="AG19" s="71"/>
      <c r="AH19" s="71"/>
      <c r="AI19" s="71"/>
    </row>
    <row r="20" spans="1:35" ht="54" customHeight="1" x14ac:dyDescent="0.2">
      <c r="A20" s="3"/>
      <c r="B20" s="802" t="str">
        <f>+'Data Entry'!B118</f>
        <v>Pr1. Proportion of estimated malaria cases (presumed and confirmed) that received first line anti-malarial treatment at health facilities</v>
      </c>
      <c r="C20" s="802"/>
      <c r="D20" s="802"/>
      <c r="E20" s="147">
        <f ca="1">OFFSET('Data Entry'!$G$117,1,RIGHT('Data Entry'!$C$16,LEN('Data Entry'!$C$16)-1),1,1)</f>
        <v>0.61299999999999999</v>
      </c>
      <c r="F20" s="147">
        <f ca="1">OFFSET('Data Entry'!$G$117,2,RIGHT('Data Entry'!$C$16,LEN('Data Entry'!$C$16)-1),1,1)</f>
        <v>0.56299999999999994</v>
      </c>
      <c r="G20" s="793">
        <f ca="1">+IF(ISERROR(F20/E20),0,F20/E20)</f>
        <v>0.91843393148450236</v>
      </c>
      <c r="H20" s="794"/>
      <c r="I20" s="794"/>
      <c r="J20" s="794"/>
      <c r="K20" s="795"/>
      <c r="L20" s="809" t="s">
        <v>477</v>
      </c>
      <c r="M20" s="809"/>
      <c r="N20" s="809"/>
      <c r="O20" s="809"/>
      <c r="P20" s="809"/>
      <c r="Q20" s="809"/>
      <c r="S20" s="65" t="s">
        <v>92</v>
      </c>
      <c r="T20" s="68">
        <v>0.3</v>
      </c>
      <c r="U20" s="67">
        <v>0.6</v>
      </c>
      <c r="V20" s="67">
        <v>0.9</v>
      </c>
      <c r="W20" s="67">
        <v>1</v>
      </c>
      <c r="X20" s="67">
        <v>2</v>
      </c>
      <c r="Y20" s="71"/>
      <c r="Z20" s="71"/>
      <c r="AA20" s="65" t="s">
        <v>92</v>
      </c>
      <c r="AB20" s="68">
        <v>0.2</v>
      </c>
      <c r="AC20" s="67">
        <v>0.4</v>
      </c>
      <c r="AD20" s="67">
        <v>0.6</v>
      </c>
      <c r="AE20" s="67">
        <v>0.8</v>
      </c>
      <c r="AF20" s="67">
        <v>1</v>
      </c>
      <c r="AG20" s="71"/>
      <c r="AH20" s="71"/>
      <c r="AI20" s="71"/>
    </row>
    <row r="21" spans="1:35" ht="41.25" customHeight="1" x14ac:dyDescent="0.2">
      <c r="A21" s="3"/>
      <c r="B21" s="802" t="str">
        <f>+'Data Entry'!B120</f>
        <v>Pr2. %  Proportion of pregnant women attending antenatal clinics who received three or more doses of intermittent preventive treatment (IPTp) for malaria</v>
      </c>
      <c r="C21" s="802"/>
      <c r="D21" s="802"/>
      <c r="E21" s="147">
        <f ca="1">OFFSET('Data Entry'!$G$117,3,RIGHT('Data Entry'!$C$16,LEN('Data Entry'!$C$16)-1),1,1)</f>
        <v>0.60699999999999998</v>
      </c>
      <c r="F21" s="147">
        <f ca="1">OFFSET('Data Entry'!$G$117,4,RIGHT('Data Entry'!$C$16,LEN('Data Entry'!$C$16)-1),1,1)</f>
        <v>0.40300000000000002</v>
      </c>
      <c r="G21" s="793">
        <f t="shared" ref="G21:G27" ca="1" si="0">+IF(ISERROR(F21/E21),0,F21/E21)</f>
        <v>0.66392092257001656</v>
      </c>
      <c r="H21" s="794"/>
      <c r="I21" s="794"/>
      <c r="J21" s="794"/>
      <c r="K21" s="795"/>
      <c r="L21" s="792" t="s">
        <v>478</v>
      </c>
      <c r="M21" s="792"/>
      <c r="N21" s="792"/>
      <c r="O21" s="792"/>
      <c r="P21" s="792"/>
      <c r="Q21" s="792"/>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266</v>
      </c>
      <c r="AA21" s="69" t="s">
        <v>265</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42" customHeight="1" x14ac:dyDescent="0.2">
      <c r="A22" s="3"/>
      <c r="B22" s="802" t="str">
        <f>+'Data Entry'!B122</f>
        <v>Pr3. Number of long-lasting insecticidal nets distributed to at-risk populations through mass campaigns</v>
      </c>
      <c r="C22" s="802"/>
      <c r="D22" s="802"/>
      <c r="E22" s="147">
        <f ca="1">OFFSET('Data Entry'!$G$117,5,RIGHT('Data Entry'!$C$16,LEN('Data Entry'!$C$16)-1),1,1)</f>
        <v>2331644</v>
      </c>
      <c r="F22" s="147">
        <f ca="1">OFFSET('Data Entry'!$G$117,6,RIGHT('Data Entry'!$C$16,LEN('Data Entry'!$C$16)-1),1,1)</f>
        <v>2440710</v>
      </c>
      <c r="G22" s="793">
        <f t="shared" ca="1" si="0"/>
        <v>1.0467764375693716</v>
      </c>
      <c r="H22" s="794"/>
      <c r="I22" s="794"/>
      <c r="J22" s="794"/>
      <c r="K22" s="795"/>
      <c r="L22" s="792" t="s">
        <v>479</v>
      </c>
      <c r="M22" s="792"/>
      <c r="N22" s="792"/>
      <c r="O22" s="792"/>
      <c r="P22" s="792"/>
      <c r="Q22" s="792"/>
      <c r="S22" s="69"/>
      <c r="T22" s="67" t="e">
        <f t="shared" ref="T22:W33" si="1">IF($K20&gt;T$19,IF($K20&lt;=T$20,$K20,NA()),NA())</f>
        <v>#N/A</v>
      </c>
      <c r="U22" s="67" t="e">
        <f t="shared" si="1"/>
        <v>#N/A</v>
      </c>
      <c r="V22" s="67" t="e">
        <f t="shared" si="1"/>
        <v>#N/A</v>
      </c>
      <c r="W22" s="67" t="e">
        <f t="shared" si="1"/>
        <v>#N/A</v>
      </c>
      <c r="X22" s="67" t="e">
        <f>IF($K20&gt;X$19,IF($K20&lt;=X$20,1,NA()),NA())</f>
        <v>#N/A</v>
      </c>
      <c r="Y22" s="71"/>
      <c r="Z22" s="200" t="e">
        <f>+'Grant Detail'!#REF!</f>
        <v>#REF!</v>
      </c>
      <c r="AA22" s="67" t="e">
        <f>+IF(Z22="A1",1,IF(Z22="A2",0.8,IF(Z22="B1",0.6,IF(Z22="B2",0.4,0.2))))</f>
        <v>#REF!</v>
      </c>
      <c r="AB22" s="67" t="e">
        <f>IF($AA22&gt;AB$19,IF($AA22&lt;=AB$20,$AA22,NA()),NA())</f>
        <v>#REF!</v>
      </c>
      <c r="AC22" s="67" t="e">
        <f t="shared" ref="AC22:AF24" si="2">IF($AA22&gt;AC$19,IF($AA22&lt;=AC$20,$AA22,NA()),NA())</f>
        <v>#REF!</v>
      </c>
      <c r="AD22" s="67" t="e">
        <f t="shared" si="2"/>
        <v>#REF!</v>
      </c>
      <c r="AE22" s="67" t="e">
        <f t="shared" si="2"/>
        <v>#REF!</v>
      </c>
      <c r="AF22" s="67" t="e">
        <f t="shared" si="2"/>
        <v>#REF!</v>
      </c>
      <c r="AG22" s="71"/>
      <c r="AH22" s="71"/>
      <c r="AI22" s="71"/>
    </row>
    <row r="23" spans="1:35" ht="60.75" customHeight="1" x14ac:dyDescent="0.2">
      <c r="A23" s="3"/>
      <c r="B23" s="804" t="str">
        <f>+'Data Entry'!B124</f>
        <v>Pr4. Proportion of population at risk potentially covered by long lasting insecticidal nets distributed</v>
      </c>
      <c r="C23" s="805"/>
      <c r="D23" s="806"/>
      <c r="E23" s="147">
        <f ca="1">OFFSET('Data Entry'!$G$117,7,RIGHT('Data Entry'!$C$16,LEN('Data Entry'!$C$16)-1),1,1)</f>
        <v>0.89700000000000002</v>
      </c>
      <c r="F23" s="147">
        <f ca="1">OFFSET('Data Entry'!$G$117,8,RIGHT('Data Entry'!$C$16,LEN('Data Entry'!$C$16)-1),1,1)</f>
        <v>0.90069999999999995</v>
      </c>
      <c r="G23" s="793">
        <f t="shared" ca="1" si="0"/>
        <v>1.0041248606465998</v>
      </c>
      <c r="H23" s="794"/>
      <c r="I23" s="794"/>
      <c r="J23" s="794"/>
      <c r="K23" s="795"/>
      <c r="L23" s="792" t="s">
        <v>474</v>
      </c>
      <c r="M23" s="792"/>
      <c r="N23" s="792"/>
      <c r="O23" s="792"/>
      <c r="P23" s="792"/>
      <c r="Q23" s="792"/>
      <c r="S23" s="69"/>
      <c r="T23" s="67" t="e">
        <f t="shared" si="1"/>
        <v>#N/A</v>
      </c>
      <c r="U23" s="67" t="e">
        <f t="shared" si="1"/>
        <v>#N/A</v>
      </c>
      <c r="V23" s="67" t="e">
        <f t="shared" si="1"/>
        <v>#N/A</v>
      </c>
      <c r="W23" s="67" t="e">
        <f t="shared" si="1"/>
        <v>#N/A</v>
      </c>
      <c r="X23" s="67" t="e">
        <f>IF($K21&gt;X$19,IF($K21&lt;=X$20,1,1),NA())</f>
        <v>#N/A</v>
      </c>
      <c r="Y23" s="71"/>
      <c r="Z23" s="200" t="e">
        <f>+'Grant Detail'!#REF!</f>
        <v>#REF!</v>
      </c>
      <c r="AA23" s="67" t="e">
        <f>+IF(Z23="A1",1,IF(Z23="A2",0.8,IF(Z23="B1",0.6,IF(Z23="B2",0.4,0.2))))</f>
        <v>#REF!</v>
      </c>
      <c r="AB23" s="67" t="e">
        <f>IF($AA23&gt;AB$19,IF($AA23&lt;=AB$20,$AA23,NA()),NA())</f>
        <v>#REF!</v>
      </c>
      <c r="AC23" s="67" t="e">
        <f t="shared" si="2"/>
        <v>#REF!</v>
      </c>
      <c r="AD23" s="67" t="e">
        <f t="shared" si="2"/>
        <v>#REF!</v>
      </c>
      <c r="AE23" s="67" t="e">
        <f t="shared" si="2"/>
        <v>#REF!</v>
      </c>
      <c r="AF23" s="67" t="e">
        <f t="shared" si="2"/>
        <v>#REF!</v>
      </c>
      <c r="AG23" s="71"/>
      <c r="AH23" s="71"/>
      <c r="AI23" s="71"/>
    </row>
    <row r="24" spans="1:35" ht="39.75" customHeight="1" x14ac:dyDescent="0.2">
      <c r="A24" s="3"/>
      <c r="B24" s="802" t="str">
        <f>+'Data Entry'!B126</f>
        <v>Pr5. Proportion of suspected malaria cases that receive a parasitological test at health facilities</v>
      </c>
      <c r="C24" s="802"/>
      <c r="D24" s="802"/>
      <c r="E24" s="147">
        <f ca="1">OFFSET('Data Entry'!$G$117,9,RIGHT('Data Entry'!$C$16,LEN('Data Entry'!$C$16)-1),1,1)</f>
        <v>0.75</v>
      </c>
      <c r="F24" s="147">
        <f ca="1">OFFSET('Data Entry'!$G$117,10,RIGHT('Data Entry'!$C$16,LEN('Data Entry'!$C$16)-1),1,1)</f>
        <v>0.79</v>
      </c>
      <c r="G24" s="793">
        <f t="shared" ca="1" si="0"/>
        <v>1.0533333333333335</v>
      </c>
      <c r="H24" s="794"/>
      <c r="I24" s="794"/>
      <c r="J24" s="794"/>
      <c r="K24" s="795"/>
      <c r="L24" s="792" t="s">
        <v>480</v>
      </c>
      <c r="M24" s="792"/>
      <c r="N24" s="792"/>
      <c r="O24" s="792"/>
      <c r="P24" s="792"/>
      <c r="Q24" s="792"/>
      <c r="S24" s="69"/>
      <c r="T24" s="67" t="e">
        <f t="shared" si="1"/>
        <v>#N/A</v>
      </c>
      <c r="U24" s="67" t="e">
        <f t="shared" si="1"/>
        <v>#N/A</v>
      </c>
      <c r="V24" s="67" t="e">
        <f t="shared" si="1"/>
        <v>#N/A</v>
      </c>
      <c r="W24" s="67" t="e">
        <f t="shared" si="1"/>
        <v>#N/A</v>
      </c>
      <c r="X24" s="67" t="e">
        <f t="shared" ref="X24:X33" si="3">IF($K22&gt;X$19,IF($K22&lt;=X$20,1,NA()),NA())</f>
        <v>#N/A</v>
      </c>
      <c r="Y24" s="71"/>
      <c r="Z24" s="200" t="e">
        <f>+'Grant Detail'!#REF!</f>
        <v>#REF!</v>
      </c>
      <c r="AA24" s="67" t="e">
        <f>+IF(Z24="A1",1,IF(Z24="A2",0.8,IF(Z24="B1",0.6,IF(Z24="B2",0.4,0.2))))</f>
        <v>#REF!</v>
      </c>
      <c r="AB24" s="67" t="e">
        <f>IF($AA24&gt;AB$19,IF($AA24&lt;=AB$20,$AA24,NA()),NA())</f>
        <v>#REF!</v>
      </c>
      <c r="AC24" s="67" t="e">
        <f t="shared" si="2"/>
        <v>#REF!</v>
      </c>
      <c r="AD24" s="67" t="e">
        <f t="shared" si="2"/>
        <v>#REF!</v>
      </c>
      <c r="AE24" s="67" t="e">
        <f t="shared" si="2"/>
        <v>#REF!</v>
      </c>
      <c r="AF24" s="67" t="e">
        <f t="shared" si="2"/>
        <v>#REF!</v>
      </c>
      <c r="AG24" s="71"/>
      <c r="AH24" s="71"/>
      <c r="AI24" s="71"/>
    </row>
    <row r="25" spans="1:35" ht="55.5" customHeight="1" x14ac:dyDescent="0.2">
      <c r="A25" s="3"/>
      <c r="B25" s="802" t="str">
        <f>+'Data Entry'!B128</f>
        <v>Pr6.  Proportion of targeted risk groups (pupils, pregnant women  and children under five years) receiving long-lasting insecticidal-nets through routine distribution</v>
      </c>
      <c r="C25" s="802"/>
      <c r="D25" s="802"/>
      <c r="E25" s="147">
        <f ca="1">OFFSET('Data Entry'!$G$117,11,RIGHT('Data Entry'!$C$16,LEN('Data Entry'!$C$16)-1),1,1)</f>
        <v>0.92</v>
      </c>
      <c r="F25" s="147">
        <f ca="1">OFFSET('Data Entry'!$G$117,12,RIGHT('Data Entry'!$C$16,LEN('Data Entry'!$C$16)-1),1,1)</f>
        <v>0.80100000000000005</v>
      </c>
      <c r="G25" s="793">
        <f t="shared" ca="1" si="0"/>
        <v>0.8706521739130435</v>
      </c>
      <c r="H25" s="794"/>
      <c r="I25" s="794"/>
      <c r="J25" s="794"/>
      <c r="K25" s="795"/>
      <c r="L25" s="789" t="s">
        <v>476</v>
      </c>
      <c r="M25" s="790"/>
      <c r="N25" s="790"/>
      <c r="O25" s="790"/>
      <c r="P25" s="790"/>
      <c r="Q25" s="791"/>
      <c r="S25" s="69"/>
      <c r="T25" s="67" t="e">
        <f t="shared" si="1"/>
        <v>#N/A</v>
      </c>
      <c r="U25" s="67" t="e">
        <f t="shared" si="1"/>
        <v>#N/A</v>
      </c>
      <c r="V25" s="67" t="e">
        <f t="shared" si="1"/>
        <v>#N/A</v>
      </c>
      <c r="W25" s="67" t="e">
        <f t="shared" si="1"/>
        <v>#N/A</v>
      </c>
      <c r="X25" s="67" t="e">
        <f t="shared" si="3"/>
        <v>#N/A</v>
      </c>
      <c r="Y25" s="71"/>
      <c r="Z25" s="71"/>
      <c r="AA25" s="71"/>
      <c r="AB25" s="71"/>
      <c r="AC25" s="71"/>
      <c r="AD25" s="71"/>
      <c r="AE25" s="71"/>
      <c r="AF25" s="71"/>
      <c r="AG25" s="71"/>
      <c r="AH25" s="71"/>
      <c r="AI25" s="71"/>
    </row>
    <row r="26" spans="1:35" ht="63" customHeight="1" x14ac:dyDescent="0.2">
      <c r="A26" s="3"/>
      <c r="B26" s="802" t="str">
        <f>+'Data Entry'!B130</f>
        <v>Pr7. Number of children under five years which received first-line antimalrial treatment according to national policy(ACTs) at the community level</v>
      </c>
      <c r="C26" s="802"/>
      <c r="D26" s="802"/>
      <c r="E26" s="505">
        <f ca="1">OFFSET('Data Entry'!$G$117,13,RIGHT('Data Entry'!$C$16,LEN('Data Entry'!$C$16)-1),1,1)</f>
        <v>1</v>
      </c>
      <c r="F26" s="505">
        <f ca="1">OFFSET('Data Entry'!$G$117,14,RIGHT('Data Entry'!$C$16,LEN('Data Entry'!$C$16)-1),1,1)</f>
        <v>1</v>
      </c>
      <c r="G26" s="793">
        <f t="shared" ca="1" si="0"/>
        <v>1</v>
      </c>
      <c r="H26" s="794"/>
      <c r="I26" s="794"/>
      <c r="J26" s="794"/>
      <c r="K26" s="795"/>
      <c r="L26" s="789" t="s">
        <v>466</v>
      </c>
      <c r="M26" s="790"/>
      <c r="N26" s="790"/>
      <c r="O26" s="790"/>
      <c r="P26" s="790"/>
      <c r="Q26" s="791"/>
      <c r="S26" s="69"/>
      <c r="T26" s="67" t="e">
        <f t="shared" si="1"/>
        <v>#N/A</v>
      </c>
      <c r="U26" s="67" t="e">
        <f t="shared" si="1"/>
        <v>#N/A</v>
      </c>
      <c r="V26" s="67" t="e">
        <f t="shared" si="1"/>
        <v>#N/A</v>
      </c>
      <c r="W26" s="67" t="e">
        <f t="shared" si="1"/>
        <v>#N/A</v>
      </c>
      <c r="X26" s="67" t="e">
        <f t="shared" si="3"/>
        <v>#N/A</v>
      </c>
      <c r="Y26" s="71"/>
      <c r="Z26" s="71"/>
      <c r="AA26" s="71"/>
      <c r="AB26" s="71"/>
      <c r="AC26" s="71"/>
      <c r="AD26" s="71"/>
      <c r="AE26" s="71"/>
      <c r="AF26" s="71"/>
      <c r="AG26" s="71"/>
      <c r="AH26" s="71"/>
      <c r="AI26" s="71"/>
    </row>
    <row r="27" spans="1:35" ht="40.5" customHeight="1" x14ac:dyDescent="0.2">
      <c r="A27" s="3"/>
      <c r="B27" s="802" t="str">
        <f>+'Data Entry'!B132</f>
        <v>Pr8. Proportion of confirmed malaria cases that received first-line antimalarial treatment according to national policy at health facilities</v>
      </c>
      <c r="C27" s="802"/>
      <c r="D27" s="802"/>
      <c r="E27" s="147">
        <f ca="1">OFFSET('Data Entry'!$G$117,15,RIGHT('Data Entry'!$C$16,LEN('Data Entry'!$C$16)-1),1,1)</f>
        <v>1</v>
      </c>
      <c r="F27" s="147">
        <f ca="1">OFFSET('Data Entry'!$G$117,16,RIGHT('Data Entry'!$C$16,LEN('Data Entry'!$C$16)-1),1,1)</f>
        <v>1</v>
      </c>
      <c r="G27" s="793">
        <f t="shared" ca="1" si="0"/>
        <v>1</v>
      </c>
      <c r="H27" s="794"/>
      <c r="I27" s="794"/>
      <c r="J27" s="794"/>
      <c r="K27" s="795"/>
      <c r="L27" s="792" t="s">
        <v>475</v>
      </c>
      <c r="M27" s="792"/>
      <c r="N27" s="792"/>
      <c r="O27" s="792"/>
      <c r="P27" s="792"/>
      <c r="Q27" s="792"/>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24" customHeight="1" x14ac:dyDescent="0.2">
      <c r="A28" s="3"/>
      <c r="B28" s="802">
        <f>+'Data Entry'!B134</f>
        <v>0</v>
      </c>
      <c r="C28" s="802"/>
      <c r="D28" s="802"/>
      <c r="E28" s="147">
        <f ca="1">OFFSET('Data Entry'!$G$117,17,RIGHT('Data Entry'!$C$16,LEN('Data Entry'!$C$16)-1),1,1)</f>
        <v>0</v>
      </c>
      <c r="F28" s="147">
        <f ca="1">OFFSET('Data Entry'!$G$117,18,RIGHT('Data Entry'!$C$16,LEN('Data Entry'!$C$16)-1),1,1)</f>
        <v>0</v>
      </c>
      <c r="G28" s="793">
        <v>1</v>
      </c>
      <c r="H28" s="794"/>
      <c r="I28" s="794"/>
      <c r="J28" s="794"/>
      <c r="K28" s="795"/>
      <c r="L28" s="810"/>
      <c r="M28" s="810"/>
      <c r="N28" s="810"/>
      <c r="O28" s="810"/>
      <c r="P28" s="810"/>
      <c r="Q28" s="810"/>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29.25" customHeight="1" x14ac:dyDescent="0.2">
      <c r="A29" s="3"/>
      <c r="B29" s="804">
        <f>+'Data Entry'!B136</f>
        <v>0</v>
      </c>
      <c r="C29" s="805"/>
      <c r="D29" s="806"/>
      <c r="E29" s="147">
        <f ca="1">OFFSET('Data Entry'!$G$117,19,RIGHT('Data Entry'!$C$16,LEN('Data Entry'!$C$16)-1),1,1)</f>
        <v>0</v>
      </c>
      <c r="F29" s="147">
        <f ca="1">OFFSET('Data Entry'!$G$117,20,RIGHT('Data Entry'!$C$16,LEN('Data Entry'!$C$16)-1),1,1)</f>
        <v>0</v>
      </c>
      <c r="G29" s="793">
        <v>1</v>
      </c>
      <c r="H29" s="794"/>
      <c r="I29" s="794"/>
      <c r="J29" s="794"/>
      <c r="K29" s="795"/>
      <c r="L29" s="810"/>
      <c r="M29" s="810"/>
      <c r="N29" s="810"/>
      <c r="O29" s="810"/>
      <c r="P29" s="810"/>
      <c r="Q29" s="810"/>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x14ac:dyDescent="0.2">
      <c r="A30" s="3"/>
      <c r="B30" s="815"/>
      <c r="C30" s="815"/>
      <c r="D30" s="815"/>
      <c r="E30" s="815"/>
      <c r="F30" s="814"/>
      <c r="G30" s="814"/>
      <c r="H30" s="814"/>
      <c r="I30" s="814"/>
      <c r="J30" s="814"/>
      <c r="K30" s="814"/>
      <c r="L30" s="811"/>
      <c r="M30" s="811"/>
      <c r="N30" s="811"/>
      <c r="O30" s="811"/>
      <c r="P30" s="811"/>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x14ac:dyDescent="0.2">
      <c r="A31" s="3"/>
      <c r="B31" s="812"/>
      <c r="C31" s="812"/>
      <c r="D31" s="812"/>
      <c r="E31" s="813"/>
      <c r="F31" s="807"/>
      <c r="G31" s="808"/>
      <c r="H31" s="808"/>
      <c r="I31" s="808"/>
      <c r="J31" s="808"/>
      <c r="K31" s="813"/>
      <c r="L31" s="807"/>
      <c r="M31" s="808"/>
      <c r="N31" s="808"/>
      <c r="O31" s="808"/>
      <c r="P31" s="808"/>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x14ac:dyDescent="0.2">
      <c r="A32" s="3"/>
      <c r="B32" s="230"/>
      <c r="C32" s="230"/>
      <c r="D32" s="230"/>
      <c r="E32" s="230"/>
      <c r="F32" s="230"/>
      <c r="G32" s="230"/>
      <c r="H32" s="231"/>
      <c r="I32" s="230"/>
      <c r="J32" s="230"/>
      <c r="K32" s="230"/>
      <c r="L32" s="230"/>
      <c r="M32" s="230"/>
      <c r="N32" s="230"/>
      <c r="O32" s="230"/>
      <c r="P32" s="230"/>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x14ac:dyDescent="0.2">
      <c r="A33" s="3"/>
      <c r="B33" s="803"/>
      <c r="C33" s="803"/>
      <c r="D33" s="803"/>
      <c r="E33" s="803"/>
      <c r="F33" s="803"/>
      <c r="G33" s="803"/>
      <c r="H33" s="803"/>
      <c r="I33" s="803"/>
      <c r="J33" s="803"/>
      <c r="K33" s="803"/>
      <c r="L33" s="230"/>
      <c r="M33" s="230"/>
      <c r="N33" s="230"/>
      <c r="O33" s="230"/>
      <c r="P33" s="230"/>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x14ac:dyDescent="0.2">
      <c r="A34" s="3"/>
      <c r="B34" s="803"/>
      <c r="C34" s="803"/>
      <c r="D34" s="803"/>
      <c r="E34" s="803"/>
      <c r="F34" s="803"/>
      <c r="G34" s="803"/>
      <c r="H34" s="803"/>
      <c r="I34" s="803"/>
      <c r="J34" s="803"/>
      <c r="K34" s="803"/>
      <c r="L34" s="230"/>
      <c r="M34" s="230"/>
      <c r="N34" s="230"/>
      <c r="O34" s="230"/>
      <c r="P34" s="230"/>
      <c r="S34" s="71"/>
      <c r="T34" s="71"/>
      <c r="U34" s="71"/>
      <c r="V34" s="71"/>
      <c r="W34" s="71"/>
      <c r="X34" s="71"/>
      <c r="Y34" s="71"/>
      <c r="Z34" s="71"/>
      <c r="AA34" s="71"/>
      <c r="AB34" s="71"/>
      <c r="AC34" s="71"/>
      <c r="AD34" s="71"/>
      <c r="AE34" s="71"/>
      <c r="AF34" s="71"/>
      <c r="AG34" s="71"/>
      <c r="AH34" s="71"/>
      <c r="AI34" s="71"/>
    </row>
    <row r="35" spans="1:35" x14ac:dyDescent="0.2">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x14ac:dyDescent="0.2">
      <c r="A36" s="3"/>
      <c r="B36" s="3"/>
      <c r="C36" s="3"/>
      <c r="D36" s="3"/>
      <c r="E36" s="3"/>
      <c r="F36" s="3"/>
      <c r="G36" s="3"/>
      <c r="H36" s="3"/>
      <c r="I36" s="148"/>
      <c r="J36" s="149"/>
      <c r="K36" s="149"/>
      <c r="L36" s="3"/>
      <c r="M36" s="3"/>
      <c r="N36" s="3"/>
      <c r="O36" s="3"/>
      <c r="P36" s="3"/>
      <c r="S36" s="71"/>
      <c r="T36" s="71"/>
      <c r="U36" s="71"/>
      <c r="V36" s="71"/>
      <c r="W36" s="71"/>
      <c r="X36" s="71"/>
      <c r="Y36" s="71"/>
      <c r="Z36" s="71"/>
      <c r="AA36" s="71"/>
      <c r="AB36" s="71"/>
      <c r="AC36" s="71"/>
      <c r="AD36" s="71"/>
      <c r="AE36" s="71"/>
      <c r="AF36" s="71"/>
      <c r="AG36" s="71"/>
      <c r="AH36" s="71"/>
      <c r="AI36" s="71"/>
    </row>
    <row r="37" spans="1:35" x14ac:dyDescent="0.2">
      <c r="A37" s="3"/>
      <c r="B37" s="3"/>
      <c r="C37" s="3"/>
      <c r="D37" s="3"/>
      <c r="E37" s="3"/>
      <c r="F37" s="3"/>
      <c r="G37" s="3"/>
      <c r="H37" s="3"/>
      <c r="I37" s="150"/>
      <c r="J37" s="151"/>
      <c r="K37" s="102"/>
      <c r="L37" s="3"/>
      <c r="M37" s="3"/>
      <c r="N37" s="3"/>
      <c r="O37" s="3"/>
      <c r="P37" s="3"/>
      <c r="S37" s="71"/>
      <c r="T37" s="71"/>
      <c r="U37" s="71"/>
      <c r="V37" s="71"/>
      <c r="W37" s="71"/>
      <c r="X37" s="71"/>
      <c r="Y37" s="71"/>
      <c r="Z37" s="71"/>
      <c r="AA37" s="71"/>
      <c r="AB37" s="71"/>
      <c r="AC37" s="71"/>
      <c r="AD37" s="71"/>
      <c r="AE37" s="71"/>
      <c r="AF37" s="71"/>
      <c r="AG37" s="71"/>
      <c r="AH37" s="71"/>
      <c r="AI37" s="71"/>
    </row>
    <row r="38" spans="1:35" x14ac:dyDescent="0.2">
      <c r="A38" s="3"/>
      <c r="B38" s="3"/>
      <c r="C38" s="3"/>
      <c r="D38" s="3"/>
      <c r="E38" s="3"/>
      <c r="F38" s="3"/>
      <c r="G38" s="3"/>
      <c r="H38" s="3"/>
      <c r="I38" s="152"/>
      <c r="J38" s="151"/>
      <c r="K38" s="102"/>
      <c r="L38" s="3"/>
      <c r="M38" s="3"/>
      <c r="N38" s="3"/>
      <c r="O38" s="3"/>
      <c r="P38" s="3"/>
      <c r="S38" s="71"/>
      <c r="T38" s="71"/>
      <c r="U38" s="71"/>
      <c r="V38" s="71"/>
      <c r="W38" s="71"/>
      <c r="X38" s="71"/>
      <c r="Y38" s="71"/>
      <c r="Z38" s="71"/>
      <c r="AA38" s="71"/>
      <c r="AB38" s="71"/>
      <c r="AC38" s="71"/>
      <c r="AD38" s="71"/>
      <c r="AE38" s="71"/>
      <c r="AF38" s="71"/>
      <c r="AG38" s="71"/>
      <c r="AH38" s="71"/>
      <c r="AI38" s="71"/>
    </row>
    <row r="39" spans="1:35" x14ac:dyDescent="0.2">
      <c r="A39" s="3"/>
      <c r="B39" s="3"/>
      <c r="C39" s="3"/>
      <c r="D39" s="3"/>
      <c r="E39" s="3"/>
      <c r="F39" s="3"/>
      <c r="G39" s="3"/>
      <c r="H39" s="3"/>
      <c r="I39" s="150"/>
      <c r="J39" s="151"/>
      <c r="K39" s="102"/>
      <c r="L39" s="3"/>
      <c r="M39" s="3"/>
      <c r="N39" s="3"/>
      <c r="O39" s="3"/>
      <c r="P39" s="3"/>
      <c r="S39" s="71"/>
      <c r="T39" s="71"/>
      <c r="U39" s="71"/>
      <c r="V39" s="71"/>
      <c r="W39" s="71"/>
      <c r="X39" s="71"/>
      <c r="Y39" s="71"/>
      <c r="Z39" s="71"/>
      <c r="AA39" s="71"/>
      <c r="AB39" s="71"/>
      <c r="AC39" s="71"/>
      <c r="AD39" s="71"/>
      <c r="AE39" s="71"/>
      <c r="AF39" s="71"/>
      <c r="AG39" s="71"/>
      <c r="AH39" s="71"/>
      <c r="AI39" s="71"/>
    </row>
    <row r="40" spans="1:35" x14ac:dyDescent="0.2">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x14ac:dyDescent="0.2">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35" x14ac:dyDescent="0.2">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35" x14ac:dyDescent="0.2">
      <c r="S43" s="64"/>
      <c r="T43" s="64"/>
      <c r="U43" s="64"/>
      <c r="V43" s="64"/>
      <c r="W43" s="64"/>
      <c r="X43" s="64"/>
      <c r="Y43" s="64"/>
      <c r="Z43" s="64"/>
      <c r="AA43" s="64"/>
      <c r="AB43" s="64"/>
    </row>
    <row r="44" spans="1:35" x14ac:dyDescent="0.2">
      <c r="S44" s="64"/>
      <c r="T44" s="64"/>
      <c r="U44" s="64"/>
      <c r="V44" s="64"/>
      <c r="W44" s="64"/>
      <c r="X44" s="64"/>
      <c r="Y44" s="64"/>
      <c r="Z44" s="64"/>
      <c r="AA44" s="64"/>
      <c r="AB44" s="64"/>
    </row>
    <row r="45" spans="1:35" x14ac:dyDescent="0.2">
      <c r="S45" s="64"/>
      <c r="T45" s="64"/>
      <c r="U45" s="64"/>
      <c r="V45" s="64"/>
      <c r="W45" s="64"/>
      <c r="X45" s="64"/>
      <c r="Y45" s="64"/>
      <c r="Z45" s="64"/>
      <c r="AA45" s="64"/>
      <c r="AB45" s="64"/>
    </row>
    <row r="46" spans="1:35" x14ac:dyDescent="0.2">
      <c r="S46" s="64"/>
      <c r="T46" s="64"/>
      <c r="U46" s="64"/>
      <c r="V46" s="64"/>
      <c r="W46" s="64"/>
      <c r="X46" s="64"/>
      <c r="Y46" s="64"/>
      <c r="Z46" s="64"/>
      <c r="AA46" s="64"/>
      <c r="AB46" s="64"/>
    </row>
  </sheetData>
  <mergeCells count="58">
    <mergeCell ref="C9:E9"/>
    <mergeCell ref="G9:K9"/>
    <mergeCell ref="M9:Q9"/>
    <mergeCell ref="C3:D3"/>
    <mergeCell ref="E4:L4"/>
    <mergeCell ref="B8:E8"/>
    <mergeCell ref="F8:K8"/>
    <mergeCell ref="F31:K31"/>
    <mergeCell ref="B21:D21"/>
    <mergeCell ref="G28:K28"/>
    <mergeCell ref="G29:K29"/>
    <mergeCell ref="F30:K30"/>
    <mergeCell ref="B30:E30"/>
    <mergeCell ref="B27:D27"/>
    <mergeCell ref="B28:D28"/>
    <mergeCell ref="B29:D29"/>
    <mergeCell ref="B22:D22"/>
    <mergeCell ref="L31:P31"/>
    <mergeCell ref="L20:Q20"/>
    <mergeCell ref="L21:Q21"/>
    <mergeCell ref="L22:Q22"/>
    <mergeCell ref="L28:Q28"/>
    <mergeCell ref="L30:P30"/>
    <mergeCell ref="L23:Q23"/>
    <mergeCell ref="L24:Q24"/>
    <mergeCell ref="L29:Q29"/>
    <mergeCell ref="E18:K18"/>
    <mergeCell ref="B19:D19"/>
    <mergeCell ref="B20:D20"/>
    <mergeCell ref="B33:D34"/>
    <mergeCell ref="E33:G34"/>
    <mergeCell ref="H33:K34"/>
    <mergeCell ref="B23:D23"/>
    <mergeCell ref="B24:D24"/>
    <mergeCell ref="B25:D25"/>
    <mergeCell ref="B26:D26"/>
    <mergeCell ref="G23:K23"/>
    <mergeCell ref="G24:K24"/>
    <mergeCell ref="G25:K25"/>
    <mergeCell ref="G26:K26"/>
    <mergeCell ref="G27:K27"/>
    <mergeCell ref="B31:E31"/>
    <mergeCell ref="L19:Q19"/>
    <mergeCell ref="L25:Q25"/>
    <mergeCell ref="L26:Q26"/>
    <mergeCell ref="L27:Q27"/>
    <mergeCell ref="G20:K20"/>
    <mergeCell ref="G21:K21"/>
    <mergeCell ref="G22:K22"/>
    <mergeCell ref="G19:H19"/>
    <mergeCell ref="I19:J19"/>
    <mergeCell ref="B2:Q2"/>
    <mergeCell ref="O3:P3"/>
    <mergeCell ref="D5:N5"/>
    <mergeCell ref="L8:Q8"/>
    <mergeCell ref="F6:K6"/>
    <mergeCell ref="E3:K3"/>
    <mergeCell ref="C4:D4"/>
  </mergeCells>
  <phoneticPr fontId="30" type="noConversion"/>
  <conditionalFormatting sqref="C4:D4">
    <cfRule type="cellIs" dxfId="11" priority="50" stopIfTrue="1" operator="equal">
      <formula>"C"</formula>
    </cfRule>
    <cfRule type="cellIs" dxfId="10" priority="51" stopIfTrue="1" operator="equal">
      <formula>"B2"</formula>
    </cfRule>
    <cfRule type="cellIs" dxfId="9" priority="52" stopIfTrue="1" operator="equal">
      <formula>"B1"</formula>
    </cfRule>
  </conditionalFormatting>
  <conditionalFormatting sqref="G20:G29">
    <cfRule type="cellIs" dxfId="8" priority="56" stopIfTrue="1" operator="between">
      <formula>0</formula>
      <formula>0.599</formula>
    </cfRule>
    <cfRule type="cellIs" dxfId="7" priority="57" stopIfTrue="1" operator="between">
      <formula>0.6</formula>
      <formula>0.899</formula>
    </cfRule>
    <cfRule type="cellIs" dxfId="6" priority="58"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headerFooter>
    <oddFooter>&amp;L&amp;F&amp;C&amp;A&amp;RV1.0          &amp;D</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27"/>
  </sheetPr>
  <dimension ref="A1:O42"/>
  <sheetViews>
    <sheetView showGridLines="0" topLeftCell="A6" zoomScale="90" zoomScaleNormal="90" zoomScalePageLayoutView="90" workbookViewId="0">
      <selection activeCell="D32" sqref="D32:G32"/>
    </sheetView>
  </sheetViews>
  <sheetFormatPr baseColWidth="10" defaultColWidth="11.5" defaultRowHeight="12" x14ac:dyDescent="0.15"/>
  <cols>
    <col min="1" max="1" width="1.1640625" style="31" customWidth="1"/>
    <col min="2" max="2" width="19.33203125" style="31" customWidth="1"/>
    <col min="3" max="3" width="1.1640625" style="31" customWidth="1"/>
    <col min="4" max="4" width="17.1640625" style="31" customWidth="1"/>
    <col min="5" max="5" width="17.5" style="31" customWidth="1"/>
    <col min="6" max="6" width="9.6640625" style="31" customWidth="1"/>
    <col min="7" max="7" width="13" style="31" customWidth="1"/>
    <col min="8" max="8" width="4.33203125" style="31" customWidth="1"/>
    <col min="9" max="9" width="15.83203125" style="31" customWidth="1"/>
    <col min="10" max="10" width="3.5" style="31" customWidth="1"/>
    <col min="11" max="11" width="7.5" style="32" customWidth="1"/>
    <col min="12" max="12" width="14.33203125" style="31" customWidth="1"/>
    <col min="13" max="13" width="12" style="31" customWidth="1"/>
    <col min="14" max="14" width="5.5" style="31" customWidth="1"/>
    <col min="15" max="15" width="2.5" style="31" customWidth="1"/>
    <col min="16" max="16384" width="11.5" style="31"/>
  </cols>
  <sheetData>
    <row r="1" spans="1:15" ht="38.25" customHeight="1" x14ac:dyDescent="0.15">
      <c r="A1" s="154"/>
      <c r="B1" s="154"/>
      <c r="C1" s="154"/>
      <c r="D1" s="154"/>
      <c r="E1" s="154"/>
      <c r="F1" s="154"/>
      <c r="G1" s="154"/>
      <c r="H1" s="154"/>
      <c r="I1" s="154"/>
      <c r="J1" s="154"/>
      <c r="K1" s="155"/>
      <c r="L1" s="154"/>
      <c r="M1" s="154"/>
      <c r="N1" s="154"/>
    </row>
    <row r="2" spans="1:15" customFormat="1" ht="27.75" customHeight="1" x14ac:dyDescent="0.2">
      <c r="A2" s="3"/>
      <c r="B2" s="781" t="str">
        <f>+"Dashboard:  "&amp;"  "&amp;IF(+'Data Entry'!C4="Please Select","",'Data Entry'!C4&amp;" - ")&amp;IF('Data Entry'!G6="Please Select","",'Data Entry'!G6)</f>
        <v>Dashboard:    Ghana - MALARIA</v>
      </c>
      <c r="C2" s="781"/>
      <c r="D2" s="781"/>
      <c r="E2" s="781"/>
      <c r="F2" s="781"/>
      <c r="G2" s="781"/>
      <c r="H2" s="781"/>
      <c r="I2" s="781"/>
      <c r="J2" s="781"/>
      <c r="K2" s="781"/>
      <c r="L2" s="781"/>
      <c r="M2" s="781"/>
      <c r="N2" s="781"/>
      <c r="O2" s="73"/>
    </row>
    <row r="3" spans="1:15" customFormat="1" ht="19" x14ac:dyDescent="0.25">
      <c r="A3" s="3"/>
      <c r="B3" s="135" t="str">
        <f>+IF('Data Entry'!G8="Please Select","",'Data Entry'!G8)</f>
        <v/>
      </c>
      <c r="C3" s="743" t="str">
        <f>+IF('Data Entry'!I8="Please Select","",'Data Entry'!I8)</f>
        <v/>
      </c>
      <c r="D3" s="743"/>
      <c r="E3" s="784"/>
      <c r="F3" s="784"/>
      <c r="G3" s="784"/>
      <c r="H3" s="784"/>
      <c r="I3" s="784"/>
      <c r="J3" s="784"/>
      <c r="K3" s="784"/>
      <c r="L3" s="135" t="str">
        <f>+'Data Entry'!B16</f>
        <v>Report Period:</v>
      </c>
      <c r="M3" s="202" t="str">
        <f>+'Data Entry'!C16</f>
        <v>P7</v>
      </c>
      <c r="N3" s="202"/>
      <c r="O3" s="31"/>
    </row>
    <row r="4" spans="1:15" customFormat="1" ht="15" x14ac:dyDescent="0.2">
      <c r="A4" s="3"/>
      <c r="B4" s="135" t="str">
        <f>+'Data Entry'!B12</f>
        <v>Latest Rating:</v>
      </c>
      <c r="C4" s="785" t="str">
        <f>+IF('Data Entry'!C12="Please Select","",'Data Entry'!C12)</f>
        <v>B1</v>
      </c>
      <c r="D4" s="785"/>
      <c r="E4" s="742" t="str">
        <f>+'Data Entry'!C8</f>
        <v>MOH</v>
      </c>
      <c r="F4" s="742"/>
      <c r="G4" s="742"/>
      <c r="H4" s="742"/>
      <c r="I4" s="742"/>
      <c r="J4" s="742"/>
      <c r="K4" s="742"/>
      <c r="L4" s="135" t="str">
        <f>+'Data Entry'!D16</f>
        <v>From:</v>
      </c>
      <c r="M4" s="203" t="str">
        <f>+IF(ISBLANK('Data Entry'!E16),"",'Data Entry'!E16)</f>
        <v>July</v>
      </c>
      <c r="N4" s="203"/>
      <c r="O4" s="31"/>
    </row>
    <row r="5" spans="1:15" customFormat="1" ht="18.75" customHeight="1" x14ac:dyDescent="0.2">
      <c r="A5" s="3"/>
      <c r="B5" s="135"/>
      <c r="C5" s="135"/>
      <c r="D5" s="136"/>
      <c r="E5" s="742" t="str">
        <f>+'Data Entry'!G4</f>
        <v>Accelerating access to Prevention, treatment and home based care for malaria and increasing the access to affordable ACTs in the private Sector</v>
      </c>
      <c r="F5" s="742"/>
      <c r="G5" s="742"/>
      <c r="H5" s="742"/>
      <c r="I5" s="742"/>
      <c r="J5" s="742"/>
      <c r="K5" s="742"/>
      <c r="L5" s="135" t="str">
        <f>+'Data Entry'!F16</f>
        <v>To:</v>
      </c>
      <c r="M5" s="203" t="str">
        <f>+IF(ISBLANK('Data Entry'!G16),"",'Data Entry'!G16)</f>
        <v>Sept</v>
      </c>
      <c r="N5" s="203"/>
    </row>
    <row r="6" spans="1:15" customFormat="1" ht="22.5" customHeight="1" x14ac:dyDescent="0.25">
      <c r="A6" s="3"/>
      <c r="B6" s="140"/>
      <c r="C6" s="141"/>
      <c r="D6" s="142"/>
      <c r="E6" s="849" t="s">
        <v>315</v>
      </c>
      <c r="F6" s="849"/>
      <c r="G6" s="849"/>
      <c r="H6" s="849"/>
      <c r="I6" s="849"/>
      <c r="J6" s="849"/>
      <c r="K6" s="849"/>
      <c r="L6" s="2"/>
      <c r="M6" s="2"/>
      <c r="N6" s="2"/>
    </row>
    <row r="7" spans="1:15" s="33" customFormat="1" ht="4.5" customHeight="1" x14ac:dyDescent="0.15">
      <c r="A7" s="156"/>
      <c r="B7" s="157"/>
      <c r="C7" s="157"/>
      <c r="D7" s="157"/>
      <c r="E7" s="157"/>
      <c r="F7" s="157"/>
      <c r="G7" s="157"/>
      <c r="H7" s="157"/>
      <c r="I7" s="157"/>
      <c r="J7" s="157"/>
      <c r="K7" s="157"/>
      <c r="L7" s="158"/>
      <c r="M7" s="158"/>
      <c r="N7" s="159"/>
    </row>
    <row r="8" spans="1:15" s="33" customFormat="1" ht="21" customHeight="1" thickBot="1" x14ac:dyDescent="0.2">
      <c r="A8" s="156"/>
      <c r="B8" s="827" t="s">
        <v>99</v>
      </c>
      <c r="C8" s="827"/>
      <c r="D8" s="827"/>
      <c r="E8" s="827"/>
      <c r="F8" s="827"/>
      <c r="G8" s="827"/>
      <c r="H8" s="827"/>
      <c r="I8" s="827"/>
      <c r="J8" s="827"/>
      <c r="K8" s="827"/>
      <c r="L8" s="827"/>
      <c r="M8" s="827"/>
      <c r="N8" s="827"/>
    </row>
    <row r="9" spans="1:15" s="33" customFormat="1" ht="3.75" customHeight="1" thickBot="1" x14ac:dyDescent="0.2">
      <c r="A9" s="156"/>
      <c r="B9" s="157"/>
      <c r="C9" s="157"/>
      <c r="D9" s="157"/>
      <c r="E9" s="157"/>
      <c r="F9" s="157"/>
      <c r="G9" s="157"/>
      <c r="H9" s="157"/>
      <c r="I9" s="157"/>
      <c r="J9" s="157"/>
      <c r="K9" s="157"/>
      <c r="L9" s="158"/>
      <c r="M9" s="158"/>
      <c r="N9" s="159"/>
    </row>
    <row r="10" spans="1:15" s="34" customFormat="1" ht="25.5" customHeight="1" thickBot="1" x14ac:dyDescent="0.2">
      <c r="A10" s="160"/>
      <c r="B10" s="848" t="s">
        <v>94</v>
      </c>
      <c r="C10" s="840"/>
      <c r="D10" s="828" t="s">
        <v>98</v>
      </c>
      <c r="E10" s="829"/>
      <c r="F10" s="829"/>
      <c r="G10" s="830"/>
      <c r="H10" s="163"/>
      <c r="I10" s="828" t="s">
        <v>315</v>
      </c>
      <c r="J10" s="829"/>
      <c r="K10" s="829"/>
      <c r="L10" s="829"/>
      <c r="M10" s="829"/>
      <c r="N10" s="830"/>
    </row>
    <row r="11" spans="1:15" s="34" customFormat="1" ht="28.5" customHeight="1" x14ac:dyDescent="0.15">
      <c r="A11" s="160"/>
      <c r="B11" s="440" t="s">
        <v>102</v>
      </c>
      <c r="C11" s="180"/>
      <c r="D11" s="852" t="str">
        <f>IF(ISBLANK(Finance!C9),"",(Finance!C9))</f>
        <v xml:space="preserve">This does not include funds disbursed to PPM and Co-payment unit. </v>
      </c>
      <c r="E11" s="852"/>
      <c r="F11" s="852"/>
      <c r="G11" s="853"/>
      <c r="H11" s="186"/>
      <c r="I11" s="854"/>
      <c r="J11" s="855"/>
      <c r="K11" s="855"/>
      <c r="L11" s="855"/>
      <c r="M11" s="855"/>
      <c r="N11" s="856"/>
    </row>
    <row r="12" spans="1:15" s="34" customFormat="1" ht="27.75" customHeight="1" x14ac:dyDescent="0.15">
      <c r="A12" s="160"/>
      <c r="B12" s="441" t="s">
        <v>103</v>
      </c>
      <c r="C12" s="181"/>
      <c r="D12" s="852" t="str">
        <f>IF(ISBLANK(Finance!C23),"",(Finance!C23))</f>
        <v/>
      </c>
      <c r="E12" s="852"/>
      <c r="F12" s="852"/>
      <c r="G12" s="853"/>
      <c r="H12" s="186"/>
      <c r="I12" s="842"/>
      <c r="J12" s="843"/>
      <c r="K12" s="843"/>
      <c r="L12" s="843"/>
      <c r="M12" s="843"/>
      <c r="N12" s="844"/>
    </row>
    <row r="13" spans="1:15" s="34" customFormat="1" ht="26.25" customHeight="1" x14ac:dyDescent="0.15">
      <c r="A13" s="160"/>
      <c r="B13" s="441" t="s">
        <v>104</v>
      </c>
      <c r="C13" s="181"/>
      <c r="D13" s="852" t="str">
        <f>IF(ISBLANK(Finance!I9),"",(Finance!I9))</f>
        <v>Grant was signed late and disbursement was late</v>
      </c>
      <c r="E13" s="852"/>
      <c r="F13" s="852"/>
      <c r="G13" s="853"/>
      <c r="H13" s="186"/>
      <c r="I13" s="842"/>
      <c r="J13" s="843"/>
      <c r="K13" s="843"/>
      <c r="L13" s="843"/>
      <c r="M13" s="843"/>
      <c r="N13" s="844"/>
    </row>
    <row r="14" spans="1:15" s="34" customFormat="1" ht="28.5" customHeight="1" thickBot="1" x14ac:dyDescent="0.2">
      <c r="A14" s="160"/>
      <c r="B14" s="442" t="s">
        <v>105</v>
      </c>
      <c r="C14" s="182"/>
      <c r="D14" s="850" t="str">
        <f>IF(ISBLANK(Finance!I23),"",(Finance!I23))</f>
        <v/>
      </c>
      <c r="E14" s="850"/>
      <c r="F14" s="850"/>
      <c r="G14" s="851"/>
      <c r="H14" s="186"/>
      <c r="I14" s="845"/>
      <c r="J14" s="846"/>
      <c r="K14" s="846"/>
      <c r="L14" s="846"/>
      <c r="M14" s="846"/>
      <c r="N14" s="847"/>
    </row>
    <row r="15" spans="1:15" s="34" customFormat="1" ht="4.5" customHeight="1" x14ac:dyDescent="0.25">
      <c r="A15" s="160"/>
      <c r="B15" s="183"/>
      <c r="C15" s="184"/>
      <c r="D15" s="185"/>
      <c r="E15" s="185"/>
      <c r="F15" s="185"/>
      <c r="G15" s="185"/>
      <c r="H15" s="186"/>
      <c r="I15" s="187"/>
      <c r="J15" s="187"/>
      <c r="K15" s="187"/>
      <c r="L15" s="187"/>
      <c r="M15" s="187"/>
      <c r="N15" s="187"/>
      <c r="O15" s="75"/>
    </row>
    <row r="16" spans="1:15" s="33" customFormat="1" ht="21" customHeight="1" thickBot="1" x14ac:dyDescent="0.2">
      <c r="A16" s="156"/>
      <c r="B16" s="827" t="s">
        <v>101</v>
      </c>
      <c r="C16" s="827"/>
      <c r="D16" s="827"/>
      <c r="E16" s="827"/>
      <c r="F16" s="827"/>
      <c r="G16" s="827"/>
      <c r="H16" s="827"/>
      <c r="I16" s="827"/>
      <c r="J16" s="827"/>
      <c r="K16" s="827"/>
      <c r="L16" s="827"/>
      <c r="M16" s="827"/>
      <c r="N16" s="827"/>
    </row>
    <row r="17" spans="1:15" s="34" customFormat="1" ht="3.75" customHeight="1" thickBot="1" x14ac:dyDescent="0.2">
      <c r="A17" s="160"/>
      <c r="B17" s="169"/>
      <c r="C17" s="170"/>
      <c r="D17" s="171"/>
      <c r="E17" s="172"/>
      <c r="F17" s="173"/>
      <c r="G17" s="173"/>
      <c r="H17" s="174"/>
      <c r="I17" s="175"/>
      <c r="J17" s="176"/>
      <c r="K17" s="165"/>
      <c r="L17" s="166"/>
      <c r="M17" s="167"/>
      <c r="N17" s="168"/>
    </row>
    <row r="18" spans="1:15" s="34" customFormat="1" ht="22.5" customHeight="1" thickBot="1" x14ac:dyDescent="0.2">
      <c r="A18" s="160"/>
      <c r="B18" s="840" t="s">
        <v>95</v>
      </c>
      <c r="C18" s="841"/>
      <c r="D18" s="861" t="s">
        <v>98</v>
      </c>
      <c r="E18" s="862"/>
      <c r="F18" s="862"/>
      <c r="G18" s="863"/>
      <c r="H18" s="163"/>
      <c r="I18" s="858" t="s">
        <v>315</v>
      </c>
      <c r="J18" s="859"/>
      <c r="K18" s="859"/>
      <c r="L18" s="859"/>
      <c r="M18" s="860"/>
      <c r="N18" s="860"/>
    </row>
    <row r="19" spans="1:15" s="34" customFormat="1" ht="21.75" customHeight="1" x14ac:dyDescent="0.15">
      <c r="A19" s="160"/>
      <c r="B19" s="443" t="s">
        <v>110</v>
      </c>
      <c r="C19" s="188"/>
      <c r="D19" s="864" t="str">
        <f>IF(ISBLANK(Management!C8),"",(Management!C8))</f>
        <v>3 out of 6 Special conditions fulfiled. 2 are in progress ( the CP related to the supply chain and the M&amp;E ).  The one on the counterpart financing has not been met but it is not due yet.There are no CPs in current grant</v>
      </c>
      <c r="E19" s="864"/>
      <c r="F19" s="864"/>
      <c r="G19" s="865"/>
      <c r="H19" s="189"/>
      <c r="I19" s="831"/>
      <c r="J19" s="832"/>
      <c r="K19" s="832"/>
      <c r="L19" s="832"/>
      <c r="M19" s="832"/>
      <c r="N19" s="833"/>
    </row>
    <row r="20" spans="1:15" ht="24.75" customHeight="1" x14ac:dyDescent="0.15">
      <c r="A20" s="154"/>
      <c r="B20" s="444" t="s">
        <v>111</v>
      </c>
      <c r="C20" s="190"/>
      <c r="D20" s="852" t="str">
        <f>IF(ISBLANK(Management!I8),"",(Management!I8))</f>
        <v>3 Data Managers, Epidemiologist, Lab- focal person and Case Management focal person have been recruited.</v>
      </c>
      <c r="E20" s="852" t="e">
        <f>+'Data Entry'!D73/'Data Entry'!G73</f>
        <v>#DIV/0!</v>
      </c>
      <c r="F20" s="852" t="e">
        <f>+('Data Entry'!E73+'Data Entry'!F73)/'Data Entry'!G73</f>
        <v>#DIV/0!</v>
      </c>
      <c r="G20" s="857"/>
      <c r="H20" s="189"/>
      <c r="I20" s="837"/>
      <c r="J20" s="838"/>
      <c r="K20" s="838"/>
      <c r="L20" s="838"/>
      <c r="M20" s="838"/>
      <c r="N20" s="839"/>
      <c r="O20" s="35"/>
    </row>
    <row r="21" spans="1:15" ht="29.25" customHeight="1" x14ac:dyDescent="0.15">
      <c r="A21" s="154"/>
      <c r="B21" s="445" t="s">
        <v>112</v>
      </c>
      <c r="C21" s="190"/>
      <c r="D21" s="852" t="str">
        <f>IF(ISBLANK(Management!C16),"",(Management!C16))</f>
        <v xml:space="preserve">Performance assessment was conducted within the 3rd quarter to evaluate the activities of the 61 NGOs enagage for renewable contract term ending June, 2016. After assessment 33 NGO have been retained with activities commencing in October 2016 </v>
      </c>
      <c r="E21" s="852"/>
      <c r="F21" s="852"/>
      <c r="G21" s="857"/>
      <c r="H21" s="189"/>
      <c r="I21" s="837"/>
      <c r="J21" s="838"/>
      <c r="K21" s="838"/>
      <c r="L21" s="838"/>
      <c r="M21" s="838"/>
      <c r="N21" s="839"/>
      <c r="O21" s="35"/>
    </row>
    <row r="22" spans="1:15" ht="26.25" customHeight="1" x14ac:dyDescent="0.15">
      <c r="A22" s="154"/>
      <c r="B22" s="445" t="s">
        <v>113</v>
      </c>
      <c r="C22" s="190"/>
      <c r="D22" s="852" t="str">
        <f>IF(ISBLANK(Management!I16),"",(Management!I16))</f>
        <v>Reports not due  during the current quarter because they have just been reengaged</v>
      </c>
      <c r="E22" s="852"/>
      <c r="F22" s="852"/>
      <c r="G22" s="857"/>
      <c r="H22" s="189"/>
      <c r="I22" s="837"/>
      <c r="J22" s="838"/>
      <c r="K22" s="838"/>
      <c r="L22" s="838"/>
      <c r="M22" s="838"/>
      <c r="N22" s="839"/>
      <c r="O22" s="35"/>
    </row>
    <row r="23" spans="1:15" ht="24.75" customHeight="1" x14ac:dyDescent="0.15">
      <c r="A23" s="154"/>
      <c r="B23" s="445" t="s">
        <v>114</v>
      </c>
      <c r="C23" s="190"/>
      <c r="D23" s="852" t="str">
        <f>IF(ISBLANK(Management!C27),"",(Management!C27))</f>
        <v/>
      </c>
      <c r="E23" s="852"/>
      <c r="F23" s="852"/>
      <c r="G23" s="857"/>
      <c r="H23" s="189"/>
      <c r="I23" s="837"/>
      <c r="J23" s="838"/>
      <c r="K23" s="838"/>
      <c r="L23" s="838"/>
      <c r="M23" s="838"/>
      <c r="N23" s="839"/>
      <c r="O23" s="35"/>
    </row>
    <row r="24" spans="1:15" ht="27" customHeight="1" thickBot="1" x14ac:dyDescent="0.2">
      <c r="A24" s="154"/>
      <c r="B24" s="446" t="s">
        <v>116</v>
      </c>
      <c r="C24" s="191"/>
      <c r="D24" s="870" t="str">
        <f>IF(ISBLANK(Management!I27),"",(Management!I27))</f>
        <v/>
      </c>
      <c r="E24" s="870"/>
      <c r="F24" s="870"/>
      <c r="G24" s="871"/>
      <c r="H24" s="189"/>
      <c r="I24" s="834"/>
      <c r="J24" s="835"/>
      <c r="K24" s="835"/>
      <c r="L24" s="835"/>
      <c r="M24" s="835"/>
      <c r="N24" s="836"/>
      <c r="O24" s="35"/>
    </row>
    <row r="25" spans="1:15" ht="4.5" customHeight="1" x14ac:dyDescent="0.15">
      <c r="A25" s="156"/>
      <c r="B25" s="161"/>
      <c r="C25" s="162"/>
      <c r="D25" s="177"/>
      <c r="E25" s="178"/>
      <c r="F25" s="179"/>
      <c r="G25" s="179"/>
      <c r="H25" s="163"/>
      <c r="I25" s="178"/>
      <c r="J25" s="164"/>
      <c r="K25" s="165"/>
      <c r="L25" s="166"/>
      <c r="M25" s="167"/>
      <c r="N25" s="168"/>
      <c r="O25" s="35"/>
    </row>
    <row r="26" spans="1:15" s="33" customFormat="1" ht="21" customHeight="1" thickBot="1" x14ac:dyDescent="0.2">
      <c r="A26" s="156"/>
      <c r="B26" s="827" t="s">
        <v>100</v>
      </c>
      <c r="C26" s="827"/>
      <c r="D26" s="827"/>
      <c r="E26" s="827"/>
      <c r="F26" s="827"/>
      <c r="G26" s="827"/>
      <c r="H26" s="827"/>
      <c r="I26" s="827"/>
      <c r="J26" s="827"/>
      <c r="K26" s="827"/>
      <c r="L26" s="827"/>
      <c r="M26" s="827"/>
      <c r="N26" s="827"/>
    </row>
    <row r="27" spans="1:15" ht="3.75" customHeight="1" thickBot="1" x14ac:dyDescent="0.2">
      <c r="A27" s="156"/>
      <c r="B27" s="161"/>
      <c r="C27" s="162"/>
      <c r="D27" s="177"/>
      <c r="E27" s="178"/>
      <c r="F27" s="179"/>
      <c r="G27" s="179"/>
      <c r="H27" s="163"/>
      <c r="I27" s="178"/>
      <c r="J27" s="164"/>
      <c r="K27" s="165"/>
      <c r="L27" s="166"/>
      <c r="M27" s="167"/>
      <c r="N27" s="168"/>
      <c r="O27" s="35"/>
    </row>
    <row r="28" spans="1:15" ht="21.75" customHeight="1" thickBot="1" x14ac:dyDescent="0.2">
      <c r="A28" s="154"/>
      <c r="B28" s="848" t="s">
        <v>7</v>
      </c>
      <c r="C28" s="841"/>
      <c r="D28" s="872" t="s">
        <v>98</v>
      </c>
      <c r="E28" s="873"/>
      <c r="F28" s="873"/>
      <c r="G28" s="874"/>
      <c r="H28" s="163"/>
      <c r="I28" s="872" t="s">
        <v>315</v>
      </c>
      <c r="J28" s="873"/>
      <c r="K28" s="873"/>
      <c r="L28" s="873"/>
      <c r="M28" s="873"/>
      <c r="N28" s="874"/>
      <c r="O28" s="35"/>
    </row>
    <row r="29" spans="1:15" ht="29.25" customHeight="1" x14ac:dyDescent="0.15">
      <c r="A29" s="154"/>
      <c r="B29" s="447" t="s">
        <v>316</v>
      </c>
      <c r="C29" s="192"/>
      <c r="D29" s="875" t="str">
        <f>IF(ISBLANK(Programmatic!C9),"",(Programmatic!C9))</f>
        <v>2,634,268 (53.4% ) out of 4,929,983 suspected malaria cases were treated with ACTs during the semester under review.  The reduction in use of ACTs is due to the increase in parasitological diagnosis of suspected malaria cases, thus increase in rational use of ACTs</v>
      </c>
      <c r="E29" s="876"/>
      <c r="F29" s="876"/>
      <c r="G29" s="877"/>
      <c r="H29" s="189"/>
      <c r="I29" s="878"/>
      <c r="J29" s="879"/>
      <c r="K29" s="879"/>
      <c r="L29" s="879"/>
      <c r="M29" s="879"/>
      <c r="N29" s="880"/>
      <c r="O29" s="35"/>
    </row>
    <row r="30" spans="1:15" ht="21.75" customHeight="1" x14ac:dyDescent="0.15">
      <c r="A30" s="154"/>
      <c r="B30" s="448" t="s">
        <v>317</v>
      </c>
      <c r="C30" s="193"/>
      <c r="D30" s="869" t="str">
        <f>IF(ISBLANK(Programmatic!G9),"",(Programmatic!G9))</f>
        <v>Out of 488,807 ANC registrants, 291,498 (60%) received IPTp1, 240,870 (49.3%) IPTp2 and 174,219 (36%) IPTp3. This performance is mainly due to shortage of SP during the period under review</v>
      </c>
      <c r="E30" s="867"/>
      <c r="F30" s="867"/>
      <c r="G30" s="868"/>
      <c r="H30" s="189"/>
      <c r="I30" s="821"/>
      <c r="J30" s="822"/>
      <c r="K30" s="822"/>
      <c r="L30" s="822"/>
      <c r="M30" s="822"/>
      <c r="N30" s="823"/>
      <c r="O30" s="35"/>
    </row>
    <row r="31" spans="1:15" ht="21.75" customHeight="1" x14ac:dyDescent="0.15">
      <c r="A31" s="154"/>
      <c r="B31" s="448" t="s">
        <v>318</v>
      </c>
      <c r="C31" s="193"/>
      <c r="D31" s="869" t="str">
        <f>IF(ISBLANK(Programmatic!M9),"",(Programmatic!M9))</f>
        <v xml:space="preserve">1,762,766 (97%) of expected LLINs to be distributed) LLINs distributed in the Northern region during the semester under review. </v>
      </c>
      <c r="E31" s="867"/>
      <c r="F31" s="867"/>
      <c r="G31" s="868"/>
      <c r="H31" s="189"/>
      <c r="I31" s="821"/>
      <c r="J31" s="822"/>
      <c r="K31" s="822"/>
      <c r="L31" s="822"/>
      <c r="M31" s="822"/>
      <c r="N31" s="823"/>
      <c r="O31" s="35"/>
    </row>
    <row r="32" spans="1:15" ht="21.75" customHeight="1" x14ac:dyDescent="0.15">
      <c r="A32" s="154"/>
      <c r="B32" s="449" t="s">
        <v>106</v>
      </c>
      <c r="C32" s="193"/>
      <c r="D32" s="866" t="str">
        <f>IF(ISBLANK(Programmatic!L20),"",(Programmatic!L20))</f>
        <v>1,503,406 (56% ) out of 2,669,296 suspected malaria cases were treated with ACTs during the quarter under review.  The reduction in use of ACTs is due to the increase in parasitological diagnosis of suspected malaria cases, thus increase in rational use of ACT s</v>
      </c>
      <c r="E32" s="867"/>
      <c r="F32" s="867"/>
      <c r="G32" s="868"/>
      <c r="H32" s="189"/>
      <c r="I32" s="821"/>
      <c r="J32" s="822"/>
      <c r="K32" s="822"/>
      <c r="L32" s="822"/>
      <c r="M32" s="822"/>
      <c r="N32" s="823"/>
      <c r="O32" s="35"/>
    </row>
    <row r="33" spans="1:15" ht="27" customHeight="1" x14ac:dyDescent="0.15">
      <c r="A33" s="154"/>
      <c r="B33" s="449" t="s">
        <v>107</v>
      </c>
      <c r="C33" s="193"/>
      <c r="D33" s="866" t="str">
        <f>IF(ISBLANK(Programmatic!L21),"",(Programmatic!L21))</f>
        <v>Out of 220,012 ANC registrants, 165,411 (75%) received IPTp1, 165,411 (59%) IPTp2 and 88657 (40%) IPTp3. IPTp3 coverage was 36% for January-June against 40% in third quarter only. Improvement in third quarter was due to distribution of SP within the quarter. Further improvement is expected by the end of the year.</v>
      </c>
      <c r="E33" s="867"/>
      <c r="F33" s="867"/>
      <c r="G33" s="868"/>
      <c r="H33" s="189"/>
      <c r="I33" s="821"/>
      <c r="J33" s="822"/>
      <c r="K33" s="822"/>
      <c r="L33" s="822"/>
      <c r="M33" s="822"/>
      <c r="N33" s="823"/>
      <c r="O33" s="35"/>
    </row>
    <row r="34" spans="1:15" ht="21.75" customHeight="1" x14ac:dyDescent="0.15">
      <c r="A34" s="154"/>
      <c r="B34" s="449" t="s">
        <v>108</v>
      </c>
      <c r="C34" s="193"/>
      <c r="D34" s="866" t="str">
        <f>IF(ISBLANK(Programmatic!L22),"",(Programmatic!L22))</f>
        <v>Total LLINs distributed during the period under review was 2,440,710. 464,285 LLINs was distributed in Upper West and 1,971,922 in Greater Accra as part of mass campaign. 4,503 was distributed in Pakro in Eastern Region as part of LLINs durability study</v>
      </c>
      <c r="E34" s="867"/>
      <c r="F34" s="867"/>
      <c r="G34" s="868"/>
      <c r="H34" s="189"/>
      <c r="I34" s="821"/>
      <c r="J34" s="822"/>
      <c r="K34" s="822"/>
      <c r="L34" s="822"/>
      <c r="M34" s="822"/>
      <c r="N34" s="823"/>
      <c r="O34" s="35"/>
    </row>
    <row r="35" spans="1:15" ht="21.75" customHeight="1" x14ac:dyDescent="0.15">
      <c r="A35" s="154"/>
      <c r="B35" s="449" t="s">
        <v>109</v>
      </c>
      <c r="C35" s="236"/>
      <c r="D35" s="866" t="str">
        <f>IF(ISBLANK(Programmatic!L23),"",(Programmatic!L23))</f>
        <v xml:space="preserve">A total population of 5,060,848 was covered through mass campaign during the quarter under review. Thus the total cummulative coverage is 25,759,492= 4,304,564 (2014 VR+ER coverage depreciated by 20%) +13,888,670 (2015 BAR+WR+CR+ASH+UE coverage depreciated by 8%) + 3,172,979 (2016 NR)+810,069 (Upper West, 2016)+4,242,890 (GAR, 2016)+7,889 (Pakro,2016). </v>
      </c>
      <c r="E35" s="867"/>
      <c r="F35" s="867"/>
      <c r="G35" s="868"/>
      <c r="H35" s="189"/>
      <c r="I35" s="821"/>
      <c r="J35" s="822"/>
      <c r="K35" s="822"/>
      <c r="L35" s="822"/>
      <c r="M35" s="822"/>
      <c r="N35" s="823"/>
      <c r="O35" s="35"/>
    </row>
    <row r="36" spans="1:15" ht="21.75" customHeight="1" x14ac:dyDescent="0.15">
      <c r="A36" s="154"/>
      <c r="B36" s="449" t="s">
        <v>121</v>
      </c>
      <c r="C36" s="236"/>
      <c r="D36" s="866" t="str">
        <f>IF(ISBLANK(Programmatic!L24),"",(Programmatic!L24))</f>
        <v xml:space="preserve">2,108,716 (79%) out of  2,669,296 suspected malaria cases were tested within the quarter under review. This achievement is due to ongoing promotion of testing before treatment and adequate supply of RDTs in the country. </v>
      </c>
      <c r="E36" s="867"/>
      <c r="F36" s="867"/>
      <c r="G36" s="868"/>
      <c r="H36" s="189"/>
      <c r="I36" s="821"/>
      <c r="J36" s="822"/>
      <c r="K36" s="822"/>
      <c r="L36" s="822"/>
      <c r="M36" s="822"/>
      <c r="N36" s="823"/>
      <c r="O36" s="35"/>
    </row>
    <row r="37" spans="1:15" ht="21.75" customHeight="1" x14ac:dyDescent="0.15">
      <c r="A37" s="154"/>
      <c r="B37" s="449" t="s">
        <v>122</v>
      </c>
      <c r="C37" s="236"/>
      <c r="D37" s="866" t="str">
        <f>IF(ISBLANK(Programmatic!L25),"",(Programmatic!L25))</f>
        <v xml:space="preserve">During the quarter under review, 1,147,456 LLINs were distributed to pregnant women, children under five (211,099) via health facility and class 2 and 6 pupils (936357) via school distribution. </v>
      </c>
      <c r="E37" s="867"/>
      <c r="F37" s="867"/>
      <c r="G37" s="868"/>
      <c r="H37" s="189"/>
      <c r="I37" s="821"/>
      <c r="J37" s="822"/>
      <c r="K37" s="822"/>
      <c r="L37" s="822"/>
      <c r="M37" s="822"/>
      <c r="N37" s="823"/>
      <c r="O37" s="35"/>
    </row>
    <row r="38" spans="1:15" ht="21.75" customHeight="1" x14ac:dyDescent="0.15">
      <c r="A38" s="154"/>
      <c r="B38" s="449" t="s">
        <v>123</v>
      </c>
      <c r="C38" s="236"/>
      <c r="D38" s="866" t="str">
        <f>IF(ISBLANK(Programmatic!L26),"",(Programmatic!L26))</f>
        <v>The programme is no longer reporting on this indicator.</v>
      </c>
      <c r="E38" s="867"/>
      <c r="F38" s="867"/>
      <c r="G38" s="868"/>
      <c r="H38" s="189"/>
      <c r="I38" s="821"/>
      <c r="J38" s="822"/>
      <c r="K38" s="822"/>
      <c r="L38" s="822"/>
      <c r="M38" s="822"/>
      <c r="N38" s="823"/>
      <c r="O38" s="35"/>
    </row>
    <row r="39" spans="1:15" ht="21.75" customHeight="1" x14ac:dyDescent="0.15">
      <c r="A39" s="154"/>
      <c r="B39" s="449" t="s">
        <v>124</v>
      </c>
      <c r="C39" s="236"/>
      <c r="D39" s="866" t="str">
        <f>IF(ISBLANK(Programmatic!L27),"",(Programmatic!L27))</f>
        <v xml:space="preserve">All 3,303,744 tested positive cases reported at the end of the period under review were treated with ACTs. </v>
      </c>
      <c r="E39" s="867"/>
      <c r="F39" s="867"/>
      <c r="G39" s="868"/>
      <c r="H39" s="189"/>
      <c r="I39" s="821"/>
      <c r="J39" s="822"/>
      <c r="K39" s="822"/>
      <c r="L39" s="822"/>
      <c r="M39" s="822"/>
      <c r="N39" s="823"/>
      <c r="O39" s="35"/>
    </row>
    <row r="40" spans="1:15" ht="21.75" customHeight="1" x14ac:dyDescent="0.15">
      <c r="A40" s="154"/>
      <c r="B40" s="449" t="s">
        <v>125</v>
      </c>
      <c r="C40" s="236"/>
      <c r="D40" s="866" t="str">
        <f>IF(ISBLANK(Programmatic!L28),"",(Programmatic!L28))</f>
        <v/>
      </c>
      <c r="E40" s="867"/>
      <c r="F40" s="867"/>
      <c r="G40" s="868"/>
      <c r="H40" s="189"/>
      <c r="I40" s="821"/>
      <c r="J40" s="822"/>
      <c r="K40" s="822"/>
      <c r="L40" s="822"/>
      <c r="M40" s="822"/>
      <c r="N40" s="823"/>
      <c r="O40" s="35"/>
    </row>
    <row r="41" spans="1:15" ht="21.75" customHeight="1" thickBot="1" x14ac:dyDescent="0.2">
      <c r="A41" s="154"/>
      <c r="B41" s="449" t="s">
        <v>126</v>
      </c>
      <c r="C41" s="194"/>
      <c r="D41" s="866" t="str">
        <f>IF(ISBLANK(Programmatic!L29),"",(Programmatic!L29))</f>
        <v/>
      </c>
      <c r="E41" s="867"/>
      <c r="F41" s="867"/>
      <c r="G41" s="868"/>
      <c r="H41" s="189"/>
      <c r="I41" s="824"/>
      <c r="J41" s="825"/>
      <c r="K41" s="825"/>
      <c r="L41" s="825"/>
      <c r="M41" s="825"/>
      <c r="N41" s="826"/>
      <c r="O41" s="35"/>
    </row>
    <row r="42" spans="1:15" ht="14" x14ac:dyDescent="0.15">
      <c r="A42" s="154"/>
      <c r="B42" s="195"/>
      <c r="C42" s="195"/>
      <c r="D42" s="196"/>
      <c r="E42" s="154"/>
      <c r="F42" s="195"/>
      <c r="G42" s="195"/>
      <c r="H42" s="154"/>
      <c r="I42" s="197"/>
      <c r="J42" s="154"/>
      <c r="K42" s="198"/>
      <c r="L42" s="198"/>
      <c r="M42" s="198"/>
      <c r="N42" s="198"/>
      <c r="O42" s="35"/>
    </row>
  </sheetData>
  <sheetProtection password="CFC9" sheet="1"/>
  <mergeCells count="65">
    <mergeCell ref="D41:G41"/>
    <mergeCell ref="I28:N28"/>
    <mergeCell ref="D40:G40"/>
    <mergeCell ref="D34:G34"/>
    <mergeCell ref="D29:G29"/>
    <mergeCell ref="D28:G28"/>
    <mergeCell ref="I34:N34"/>
    <mergeCell ref="D35:G35"/>
    <mergeCell ref="D32:G32"/>
    <mergeCell ref="D39:G39"/>
    <mergeCell ref="D38:G38"/>
    <mergeCell ref="D37:G37"/>
    <mergeCell ref="I32:N32"/>
    <mergeCell ref="I29:N29"/>
    <mergeCell ref="I33:N33"/>
    <mergeCell ref="I30:N30"/>
    <mergeCell ref="D36:G36"/>
    <mergeCell ref="D30:G30"/>
    <mergeCell ref="D31:G31"/>
    <mergeCell ref="D24:G24"/>
    <mergeCell ref="D33:G33"/>
    <mergeCell ref="I31:N31"/>
    <mergeCell ref="B26:N26"/>
    <mergeCell ref="B16:N16"/>
    <mergeCell ref="D14:G14"/>
    <mergeCell ref="D11:G11"/>
    <mergeCell ref="D13:G13"/>
    <mergeCell ref="I12:N12"/>
    <mergeCell ref="D12:G12"/>
    <mergeCell ref="I11:N11"/>
    <mergeCell ref="B28:C28"/>
    <mergeCell ref="D22:G22"/>
    <mergeCell ref="D23:G23"/>
    <mergeCell ref="I18:N18"/>
    <mergeCell ref="D18:G18"/>
    <mergeCell ref="D20:G20"/>
    <mergeCell ref="I21:N21"/>
    <mergeCell ref="B2:N2"/>
    <mergeCell ref="E5:K5"/>
    <mergeCell ref="E6:K6"/>
    <mergeCell ref="E3:K3"/>
    <mergeCell ref="C4:D4"/>
    <mergeCell ref="E4:K4"/>
    <mergeCell ref="C3:D3"/>
    <mergeCell ref="B8:N8"/>
    <mergeCell ref="I10:N10"/>
    <mergeCell ref="I19:N19"/>
    <mergeCell ref="I24:N24"/>
    <mergeCell ref="I20:N20"/>
    <mergeCell ref="B18:C18"/>
    <mergeCell ref="I13:N13"/>
    <mergeCell ref="I14:N14"/>
    <mergeCell ref="B10:C10"/>
    <mergeCell ref="D10:G10"/>
    <mergeCell ref="I22:N22"/>
    <mergeCell ref="I23:N23"/>
    <mergeCell ref="D19:G19"/>
    <mergeCell ref="D21:G21"/>
    <mergeCell ref="I40:N40"/>
    <mergeCell ref="I41:N41"/>
    <mergeCell ref="I35:N35"/>
    <mergeCell ref="I36:N36"/>
    <mergeCell ref="I37:N37"/>
    <mergeCell ref="I38:N38"/>
    <mergeCell ref="I39:N39"/>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headerFooter>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indexed="27"/>
  </sheetPr>
  <dimension ref="A1:M43"/>
  <sheetViews>
    <sheetView showGridLines="0" zoomScale="110" zoomScaleNormal="110" zoomScaleSheetLayoutView="100" zoomScalePageLayoutView="110" workbookViewId="0">
      <selection activeCell="L3" sqref="L3"/>
    </sheetView>
  </sheetViews>
  <sheetFormatPr baseColWidth="10" defaultColWidth="11" defaultRowHeight="15" x14ac:dyDescent="0.2"/>
  <cols>
    <col min="1" max="1" width="4.1640625" customWidth="1"/>
    <col min="2" max="2" width="14.5" customWidth="1"/>
    <col min="3" max="3" width="12.5" customWidth="1"/>
    <col min="4" max="4" width="11.5" customWidth="1"/>
    <col min="5" max="5" width="19" customWidth="1"/>
    <col min="6" max="6" width="1.5" customWidth="1"/>
    <col min="7" max="7" width="11.5" customWidth="1"/>
    <col min="8" max="8" width="9.5" customWidth="1"/>
    <col min="9" max="9" width="11.5" customWidth="1"/>
    <col min="10" max="10" width="12.5" customWidth="1"/>
    <col min="11" max="11" width="10.5" customWidth="1"/>
    <col min="12" max="12" width="9.6640625" customWidth="1"/>
  </cols>
  <sheetData>
    <row r="1" spans="1:13" ht="30.75" customHeight="1" x14ac:dyDescent="0.2"/>
    <row r="2" spans="1:13" ht="27.75" customHeight="1" x14ac:dyDescent="0.2">
      <c r="B2" s="766" t="str">
        <f>+"Dashboard:  "&amp;"  "&amp;IF(+'Data Entry'!C4="Please Select","",'Data Entry'!C4&amp;" - ")&amp;IF('Data Entry'!G6="Please Select","",'Data Entry'!G6)</f>
        <v>Dashboard:    Ghana - MALARIA</v>
      </c>
      <c r="C2" s="766"/>
      <c r="D2" s="766"/>
      <c r="E2" s="766"/>
      <c r="F2" s="766"/>
      <c r="G2" s="766"/>
      <c r="H2" s="766"/>
      <c r="I2" s="766"/>
      <c r="J2" s="766"/>
      <c r="K2" s="766"/>
      <c r="L2" s="766"/>
    </row>
    <row r="3" spans="1:13" x14ac:dyDescent="0.2">
      <c r="B3" s="24" t="str">
        <f>+IF('Data Entry'!G8="Please Select","",'Data Entry'!G8)</f>
        <v/>
      </c>
      <c r="C3" s="773" t="str">
        <f>+IF('Data Entry'!I8="Please Select","",'Data Entry'!I8)</f>
        <v/>
      </c>
      <c r="D3" s="773"/>
      <c r="E3" s="768"/>
      <c r="F3" s="768"/>
      <c r="G3" s="768"/>
      <c r="H3" s="768"/>
      <c r="I3" s="768"/>
      <c r="J3" s="769" t="str">
        <f>+'Data Entry'!B16</f>
        <v>Report Period:</v>
      </c>
      <c r="K3" s="769"/>
      <c r="L3" s="202" t="str">
        <f>+'Data Entry'!C16</f>
        <v>P7</v>
      </c>
      <c r="M3" s="85"/>
    </row>
    <row r="4" spans="1:13" x14ac:dyDescent="0.2">
      <c r="B4" s="24" t="str">
        <f>+'Data Entry'!B12</f>
        <v>Latest Rating:</v>
      </c>
      <c r="C4" s="923" t="str">
        <f>+IF('Data Entry'!C12="Please Select","",'Data Entry'!C12)</f>
        <v>B1</v>
      </c>
      <c r="D4" s="923"/>
      <c r="E4" s="768" t="str">
        <f>+'Data Entry'!C8</f>
        <v>MOH</v>
      </c>
      <c r="F4" s="768"/>
      <c r="G4" s="768"/>
      <c r="H4" s="768"/>
      <c r="I4" s="768"/>
      <c r="J4" s="769" t="str">
        <f>+'Data Entry'!D16</f>
        <v>From:</v>
      </c>
      <c r="K4" s="777"/>
      <c r="L4" s="203" t="str">
        <f>+IF(ISBLANK('Data Entry'!E16),"",'Data Entry'!E16)</f>
        <v>July</v>
      </c>
    </row>
    <row r="5" spans="1:13" ht="18.75" customHeight="1" x14ac:dyDescent="0.2">
      <c r="B5" s="24"/>
      <c r="C5" s="24"/>
      <c r="D5" s="768" t="str">
        <f>+'Data Entry'!G4</f>
        <v>Accelerating access to Prevention, treatment and home based care for malaria and increasing the access to affordable ACTs in the private Sector</v>
      </c>
      <c r="E5" s="768"/>
      <c r="F5" s="768"/>
      <c r="G5" s="768"/>
      <c r="H5" s="768"/>
      <c r="I5" s="768"/>
      <c r="J5" s="768"/>
      <c r="K5" s="24" t="str">
        <f>+'Data Entry'!F16</f>
        <v>To:</v>
      </c>
      <c r="L5" s="203" t="str">
        <f>+IF(ISBLANK('Data Entry'!G16),"",'Data Entry'!G16)</f>
        <v>Sept</v>
      </c>
    </row>
    <row r="6" spans="1:13" ht="19" x14ac:dyDescent="0.25">
      <c r="B6" s="23"/>
      <c r="C6" s="24"/>
      <c r="D6" s="25"/>
      <c r="E6" s="767" t="s">
        <v>372</v>
      </c>
      <c r="F6" s="767"/>
      <c r="G6" s="767"/>
      <c r="H6" s="767"/>
      <c r="I6" s="767"/>
    </row>
    <row r="7" spans="1:13" ht="19" x14ac:dyDescent="0.25">
      <c r="E7" s="72"/>
      <c r="F7" s="72"/>
      <c r="G7" s="72"/>
      <c r="H7" s="72"/>
      <c r="I7" s="72"/>
    </row>
    <row r="8" spans="1:13" s="33" customFormat="1" ht="21" customHeight="1" thickBot="1" x14ac:dyDescent="0.2">
      <c r="B8" s="76" t="s">
        <v>96</v>
      </c>
      <c r="C8" s="76"/>
      <c r="D8" s="76"/>
      <c r="E8" s="76"/>
      <c r="F8" s="76"/>
      <c r="G8" s="76"/>
      <c r="H8" s="76"/>
      <c r="I8" s="76"/>
      <c r="J8" s="76"/>
      <c r="K8" s="76"/>
      <c r="L8" s="76"/>
    </row>
    <row r="9" spans="1:13" ht="6" customHeight="1" x14ac:dyDescent="0.2">
      <c r="B9" s="74"/>
    </row>
    <row r="10" spans="1:13" x14ac:dyDescent="0.2">
      <c r="B10" s="925"/>
      <c r="C10" s="926"/>
      <c r="D10" s="926"/>
      <c r="E10" s="926"/>
      <c r="F10" s="926"/>
      <c r="G10" s="926"/>
      <c r="H10" s="926"/>
      <c r="I10" s="926"/>
      <c r="J10" s="926"/>
      <c r="K10" s="926"/>
      <c r="L10" s="927"/>
    </row>
    <row r="11" spans="1:13" x14ac:dyDescent="0.2">
      <c r="B11" s="928"/>
      <c r="C11" s="929"/>
      <c r="D11" s="929"/>
      <c r="E11" s="929"/>
      <c r="F11" s="929"/>
      <c r="G11" s="929"/>
      <c r="H11" s="929"/>
      <c r="I11" s="929"/>
      <c r="J11" s="929"/>
      <c r="K11" s="929"/>
      <c r="L11" s="930"/>
    </row>
    <row r="12" spans="1:13" ht="16" thickBot="1" x14ac:dyDescent="0.25"/>
    <row r="13" spans="1:13" ht="26.25" customHeight="1" thickBot="1" x14ac:dyDescent="0.25">
      <c r="B13" s="898" t="s">
        <v>305</v>
      </c>
      <c r="C13" s="899"/>
      <c r="D13" s="899"/>
      <c r="E13" s="900"/>
      <c r="F13" s="77"/>
      <c r="G13" s="889" t="s">
        <v>129</v>
      </c>
      <c r="H13" s="890"/>
      <c r="I13" s="890"/>
      <c r="J13" s="78" t="s">
        <v>97</v>
      </c>
      <c r="K13" s="890" t="s">
        <v>293</v>
      </c>
      <c r="L13" s="931"/>
    </row>
    <row r="14" spans="1:13" x14ac:dyDescent="0.2">
      <c r="A14" s="893" t="s">
        <v>306</v>
      </c>
      <c r="B14" s="891"/>
      <c r="C14" s="891"/>
      <c r="D14" s="891"/>
      <c r="E14" s="892"/>
      <c r="F14" s="46"/>
      <c r="G14" s="922"/>
      <c r="H14" s="921"/>
      <c r="I14" s="921"/>
      <c r="J14" s="921"/>
      <c r="K14" s="921"/>
      <c r="L14" s="924"/>
    </row>
    <row r="15" spans="1:13" x14ac:dyDescent="0.2">
      <c r="A15" s="894"/>
      <c r="B15" s="891"/>
      <c r="C15" s="891"/>
      <c r="D15" s="891"/>
      <c r="E15" s="892"/>
      <c r="F15" s="46"/>
      <c r="G15" s="896"/>
      <c r="H15" s="881"/>
      <c r="I15" s="881"/>
      <c r="J15" s="881"/>
      <c r="K15" s="881"/>
      <c r="L15" s="882"/>
    </row>
    <row r="16" spans="1:13" x14ac:dyDescent="0.2">
      <c r="A16" s="894"/>
      <c r="B16" s="891"/>
      <c r="C16" s="891"/>
      <c r="D16" s="891"/>
      <c r="E16" s="892"/>
      <c r="F16" s="46"/>
      <c r="G16" s="896"/>
      <c r="H16" s="881"/>
      <c r="I16" s="881"/>
      <c r="J16" s="881"/>
      <c r="K16" s="881"/>
      <c r="L16" s="882"/>
    </row>
    <row r="17" spans="1:12" x14ac:dyDescent="0.2">
      <c r="A17" s="894"/>
      <c r="B17" s="891"/>
      <c r="C17" s="891"/>
      <c r="D17" s="891"/>
      <c r="E17" s="892"/>
      <c r="F17" s="46"/>
      <c r="G17" s="896"/>
      <c r="H17" s="881"/>
      <c r="I17" s="881"/>
      <c r="J17" s="881"/>
      <c r="K17" s="881"/>
      <c r="L17" s="882"/>
    </row>
    <row r="18" spans="1:12" x14ac:dyDescent="0.2">
      <c r="A18" s="894"/>
      <c r="B18" s="891"/>
      <c r="C18" s="891"/>
      <c r="D18" s="891"/>
      <c r="E18" s="892"/>
      <c r="F18" s="46"/>
      <c r="G18" s="883"/>
      <c r="H18" s="884"/>
      <c r="I18" s="885"/>
      <c r="J18" s="881"/>
      <c r="K18" s="881"/>
      <c r="L18" s="882"/>
    </row>
    <row r="19" spans="1:12" ht="30.75" customHeight="1" x14ac:dyDescent="0.2">
      <c r="A19" s="894"/>
      <c r="B19" s="891"/>
      <c r="C19" s="891"/>
      <c r="D19" s="891"/>
      <c r="E19" s="892"/>
      <c r="F19" s="46"/>
      <c r="G19" s="886"/>
      <c r="H19" s="887"/>
      <c r="I19" s="888"/>
      <c r="J19" s="881"/>
      <c r="K19" s="881"/>
      <c r="L19" s="882"/>
    </row>
    <row r="20" spans="1:12" x14ac:dyDescent="0.2">
      <c r="A20" s="894"/>
      <c r="B20" s="891"/>
      <c r="C20" s="891"/>
      <c r="D20" s="891"/>
      <c r="E20" s="892"/>
      <c r="F20" s="46"/>
      <c r="G20" s="896"/>
      <c r="H20" s="881"/>
      <c r="I20" s="881"/>
      <c r="J20" s="881"/>
      <c r="K20" s="881"/>
      <c r="L20" s="882"/>
    </row>
    <row r="21" spans="1:12" x14ac:dyDescent="0.2">
      <c r="A21" s="894"/>
      <c r="B21" s="891"/>
      <c r="C21" s="891"/>
      <c r="D21" s="891"/>
      <c r="E21" s="892"/>
      <c r="F21" s="46"/>
      <c r="G21" s="896"/>
      <c r="H21" s="881"/>
      <c r="I21" s="881"/>
      <c r="J21" s="881"/>
      <c r="K21" s="881"/>
      <c r="L21" s="882"/>
    </row>
    <row r="22" spans="1:12" x14ac:dyDescent="0.2">
      <c r="A22" s="894"/>
      <c r="B22" s="891"/>
      <c r="C22" s="891"/>
      <c r="D22" s="891"/>
      <c r="E22" s="892"/>
      <c r="F22" s="46"/>
      <c r="G22" s="896"/>
      <c r="H22" s="881"/>
      <c r="I22" s="881"/>
      <c r="J22" s="881"/>
      <c r="K22" s="881"/>
      <c r="L22" s="882"/>
    </row>
    <row r="23" spans="1:12" x14ac:dyDescent="0.2">
      <c r="A23" s="894"/>
      <c r="B23" s="891"/>
      <c r="C23" s="891"/>
      <c r="D23" s="891"/>
      <c r="E23" s="892"/>
      <c r="F23" s="46"/>
      <c r="G23" s="896"/>
      <c r="H23" s="881"/>
      <c r="I23" s="881"/>
      <c r="J23" s="881"/>
      <c r="K23" s="881"/>
      <c r="L23" s="882"/>
    </row>
    <row r="24" spans="1:12" x14ac:dyDescent="0.2">
      <c r="A24" s="894"/>
      <c r="B24" s="891"/>
      <c r="C24" s="891"/>
      <c r="D24" s="891"/>
      <c r="E24" s="892"/>
      <c r="F24" s="46"/>
      <c r="G24" s="896"/>
      <c r="H24" s="881"/>
      <c r="I24" s="881"/>
      <c r="J24" s="881"/>
      <c r="K24" s="881"/>
      <c r="L24" s="882"/>
    </row>
    <row r="25" spans="1:12" ht="16" thickBot="1" x14ac:dyDescent="0.25">
      <c r="A25" s="895"/>
      <c r="B25" s="915"/>
      <c r="C25" s="915"/>
      <c r="D25" s="915"/>
      <c r="E25" s="916"/>
      <c r="F25" s="46"/>
      <c r="G25" s="901"/>
      <c r="H25" s="902"/>
      <c r="I25" s="902"/>
      <c r="J25" s="902"/>
      <c r="K25" s="902"/>
      <c r="L25" s="932"/>
    </row>
    <row r="27" spans="1:12" ht="19" x14ac:dyDescent="0.25">
      <c r="E27" s="897" t="s">
        <v>335</v>
      </c>
      <c r="F27" s="897"/>
      <c r="G27" s="897"/>
      <c r="H27" s="897"/>
      <c r="I27" s="897"/>
    </row>
    <row r="28" spans="1:12" ht="6" customHeight="1" x14ac:dyDescent="0.25">
      <c r="E28" s="72"/>
      <c r="F28" s="72"/>
      <c r="G28" s="72"/>
      <c r="H28" s="72"/>
      <c r="I28" s="72"/>
    </row>
    <row r="29" spans="1:12" s="33" customFormat="1" ht="21" customHeight="1" thickBot="1" x14ac:dyDescent="0.2">
      <c r="B29" s="76" t="s">
        <v>96</v>
      </c>
      <c r="C29" s="76"/>
      <c r="D29" s="76"/>
      <c r="E29" s="76"/>
      <c r="F29" s="76"/>
      <c r="G29" s="76"/>
      <c r="H29" s="76"/>
      <c r="I29" s="76"/>
      <c r="J29" s="76"/>
      <c r="K29" s="76"/>
      <c r="L29" s="76"/>
    </row>
    <row r="30" spans="1:12" ht="6" customHeight="1" thickBot="1" x14ac:dyDescent="0.25">
      <c r="B30" s="74"/>
    </row>
    <row r="31" spans="1:12" ht="21.75" customHeight="1" thickBot="1" x14ac:dyDescent="0.25">
      <c r="B31" s="898" t="s">
        <v>129</v>
      </c>
      <c r="C31" s="899"/>
      <c r="D31" s="899"/>
      <c r="E31" s="900"/>
      <c r="F31" s="77"/>
      <c r="G31" s="889" t="s">
        <v>320</v>
      </c>
      <c r="H31" s="890"/>
      <c r="I31" s="890"/>
      <c r="J31" s="78" t="s">
        <v>295</v>
      </c>
      <c r="K31" s="890" t="s">
        <v>293</v>
      </c>
      <c r="L31" s="931"/>
    </row>
    <row r="32" spans="1:12" ht="14.25" customHeight="1" x14ac:dyDescent="0.2">
      <c r="A32" s="893" t="s">
        <v>307</v>
      </c>
      <c r="B32" s="905"/>
      <c r="C32" s="906"/>
      <c r="D32" s="906"/>
      <c r="E32" s="907"/>
      <c r="F32" s="46"/>
      <c r="G32" s="917"/>
      <c r="H32" s="918"/>
      <c r="I32" s="918"/>
      <c r="J32" s="918"/>
      <c r="K32" s="918"/>
      <c r="L32" s="935"/>
    </row>
    <row r="33" spans="1:12" ht="16.5" customHeight="1" x14ac:dyDescent="0.2">
      <c r="A33" s="894"/>
      <c r="B33" s="886"/>
      <c r="C33" s="887"/>
      <c r="D33" s="887"/>
      <c r="E33" s="908"/>
      <c r="F33" s="46"/>
      <c r="G33" s="903"/>
      <c r="H33" s="904"/>
      <c r="I33" s="904"/>
      <c r="J33" s="904"/>
      <c r="K33" s="904"/>
      <c r="L33" s="933"/>
    </row>
    <row r="34" spans="1:12" x14ac:dyDescent="0.2">
      <c r="A34" s="894"/>
      <c r="B34" s="909" t="str">
        <f>IF(Recommendations!I43="","",Recommendations!I43)</f>
        <v/>
      </c>
      <c r="C34" s="910"/>
      <c r="D34" s="910"/>
      <c r="E34" s="911"/>
      <c r="F34" s="46"/>
      <c r="G34" s="903"/>
      <c r="H34" s="904"/>
      <c r="I34" s="904"/>
      <c r="J34" s="904"/>
      <c r="K34" s="904"/>
      <c r="L34" s="933"/>
    </row>
    <row r="35" spans="1:12" x14ac:dyDescent="0.2">
      <c r="A35" s="894"/>
      <c r="B35" s="909"/>
      <c r="C35" s="910"/>
      <c r="D35" s="910"/>
      <c r="E35" s="911"/>
      <c r="F35" s="46"/>
      <c r="G35" s="903"/>
      <c r="H35" s="904"/>
      <c r="I35" s="904"/>
      <c r="J35" s="904"/>
      <c r="K35" s="904"/>
      <c r="L35" s="933"/>
    </row>
    <row r="36" spans="1:12" x14ac:dyDescent="0.2">
      <c r="A36" s="894"/>
      <c r="B36" s="909" t="str">
        <f>+IF(Recommendations!I53="","",Recommendations!I53)</f>
        <v/>
      </c>
      <c r="C36" s="910"/>
      <c r="D36" s="910"/>
      <c r="E36" s="911"/>
      <c r="F36" s="46"/>
      <c r="G36" s="903"/>
      <c r="H36" s="904"/>
      <c r="I36" s="904"/>
      <c r="J36" s="904"/>
      <c r="K36" s="904"/>
      <c r="L36" s="933"/>
    </row>
    <row r="37" spans="1:12" x14ac:dyDescent="0.2">
      <c r="A37" s="894"/>
      <c r="B37" s="909"/>
      <c r="C37" s="910"/>
      <c r="D37" s="910"/>
      <c r="E37" s="911"/>
      <c r="F37" s="46"/>
      <c r="G37" s="903"/>
      <c r="H37" s="904"/>
      <c r="I37" s="904"/>
      <c r="J37" s="904"/>
      <c r="K37" s="904"/>
      <c r="L37" s="933"/>
    </row>
    <row r="38" spans="1:12" x14ac:dyDescent="0.2">
      <c r="A38" s="894"/>
      <c r="B38" s="909"/>
      <c r="C38" s="910"/>
      <c r="D38" s="910"/>
      <c r="E38" s="911"/>
      <c r="F38" s="46"/>
      <c r="G38" s="903"/>
      <c r="H38" s="904"/>
      <c r="I38" s="904"/>
      <c r="J38" s="904"/>
      <c r="K38" s="904"/>
      <c r="L38" s="933"/>
    </row>
    <row r="39" spans="1:12" x14ac:dyDescent="0.2">
      <c r="A39" s="894"/>
      <c r="B39" s="909"/>
      <c r="C39" s="910"/>
      <c r="D39" s="910"/>
      <c r="E39" s="911"/>
      <c r="F39" s="46"/>
      <c r="G39" s="903"/>
      <c r="H39" s="904"/>
      <c r="I39" s="904"/>
      <c r="J39" s="904"/>
      <c r="K39" s="904"/>
      <c r="L39" s="933"/>
    </row>
    <row r="40" spans="1:12" x14ac:dyDescent="0.2">
      <c r="A40" s="894"/>
      <c r="B40" s="909"/>
      <c r="C40" s="910"/>
      <c r="D40" s="910"/>
      <c r="E40" s="911"/>
      <c r="F40" s="46"/>
      <c r="G40" s="903"/>
      <c r="H40" s="904"/>
      <c r="I40" s="904"/>
      <c r="J40" s="904"/>
      <c r="K40" s="904"/>
      <c r="L40" s="933"/>
    </row>
    <row r="41" spans="1:12" x14ac:dyDescent="0.2">
      <c r="A41" s="894"/>
      <c r="B41" s="909"/>
      <c r="C41" s="910"/>
      <c r="D41" s="910"/>
      <c r="E41" s="911"/>
      <c r="F41" s="46"/>
      <c r="G41" s="903"/>
      <c r="H41" s="904"/>
      <c r="I41" s="904"/>
      <c r="J41" s="904"/>
      <c r="K41" s="904"/>
      <c r="L41" s="933"/>
    </row>
    <row r="42" spans="1:12" x14ac:dyDescent="0.2">
      <c r="A42" s="894"/>
      <c r="B42" s="909"/>
      <c r="C42" s="910"/>
      <c r="D42" s="910"/>
      <c r="E42" s="911"/>
      <c r="F42" s="46"/>
      <c r="G42" s="903"/>
      <c r="H42" s="904"/>
      <c r="I42" s="904"/>
      <c r="J42" s="904"/>
      <c r="K42" s="904"/>
      <c r="L42" s="933"/>
    </row>
    <row r="43" spans="1:12" ht="16" thickBot="1" x14ac:dyDescent="0.25">
      <c r="A43" s="895"/>
      <c r="B43" s="912"/>
      <c r="C43" s="913"/>
      <c r="D43" s="913"/>
      <c r="E43" s="914"/>
      <c r="F43" s="46"/>
      <c r="G43" s="919"/>
      <c r="H43" s="920"/>
      <c r="I43" s="920"/>
      <c r="J43" s="920"/>
      <c r="K43" s="920"/>
      <c r="L43" s="934"/>
    </row>
  </sheetData>
  <sheetProtection password="CFC9" sheet="1"/>
  <mergeCells count="67">
    <mergeCell ref="K42:L43"/>
    <mergeCell ref="K36:L37"/>
    <mergeCell ref="K38:L39"/>
    <mergeCell ref="K32:L33"/>
    <mergeCell ref="J40:J41"/>
    <mergeCell ref="K31:L31"/>
    <mergeCell ref="K24:L25"/>
    <mergeCell ref="K34:L35"/>
    <mergeCell ref="K40:L41"/>
    <mergeCell ref="J38:J39"/>
    <mergeCell ref="B34:E35"/>
    <mergeCell ref="G34:I35"/>
    <mergeCell ref="J34:J35"/>
    <mergeCell ref="B36:E37"/>
    <mergeCell ref="G36:I37"/>
    <mergeCell ref="J36:J37"/>
    <mergeCell ref="B2:L2"/>
    <mergeCell ref="C4:D4"/>
    <mergeCell ref="K14:L15"/>
    <mergeCell ref="K16:L17"/>
    <mergeCell ref="E3:I3"/>
    <mergeCell ref="J3:K3"/>
    <mergeCell ref="E4:I4"/>
    <mergeCell ref="J4:K4"/>
    <mergeCell ref="E6:I6"/>
    <mergeCell ref="C3:D3"/>
    <mergeCell ref="D5:J5"/>
    <mergeCell ref="B13:E13"/>
    <mergeCell ref="B10:L11"/>
    <mergeCell ref="K13:L13"/>
    <mergeCell ref="J42:J43"/>
    <mergeCell ref="G40:I41"/>
    <mergeCell ref="A14:A25"/>
    <mergeCell ref="J18:J19"/>
    <mergeCell ref="J16:J17"/>
    <mergeCell ref="J14:J15"/>
    <mergeCell ref="B16:E17"/>
    <mergeCell ref="G14:I15"/>
    <mergeCell ref="B38:E39"/>
    <mergeCell ref="J24:J25"/>
    <mergeCell ref="B14:E15"/>
    <mergeCell ref="J22:J23"/>
    <mergeCell ref="G16:I17"/>
    <mergeCell ref="B18:E19"/>
    <mergeCell ref="B22:E23"/>
    <mergeCell ref="B40:E41"/>
    <mergeCell ref="B20:E21"/>
    <mergeCell ref="J20:J21"/>
    <mergeCell ref="A32:A43"/>
    <mergeCell ref="G31:I31"/>
    <mergeCell ref="G20:I21"/>
    <mergeCell ref="G22:I23"/>
    <mergeCell ref="E27:I27"/>
    <mergeCell ref="B31:E31"/>
    <mergeCell ref="G24:I25"/>
    <mergeCell ref="G38:I39"/>
    <mergeCell ref="B32:E33"/>
    <mergeCell ref="B42:E43"/>
    <mergeCell ref="B24:E25"/>
    <mergeCell ref="G32:I33"/>
    <mergeCell ref="J32:J33"/>
    <mergeCell ref="G42:I43"/>
    <mergeCell ref="K18:L19"/>
    <mergeCell ref="G18:I19"/>
    <mergeCell ref="G13:I13"/>
    <mergeCell ref="K22:L23"/>
    <mergeCell ref="K20:L21"/>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headerFooter>
    <oddFooter>&amp;L&amp;F&amp;C&amp;A&amp;RV1.0          &amp;D</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F8B9337-4B91-4BFB-AD68-7B155DF4A2A0}">
  <ds:schemaRefs>
    <ds:schemaRef ds:uri="http://schemas.microsoft.com/sharepoint/v3/contenttype/forms"/>
  </ds:schemaRefs>
</ds:datastoreItem>
</file>

<file path=customXml/itemProps2.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Menu</vt:lpstr>
      <vt:lpstr>List of Indicators</vt:lpstr>
      <vt:lpstr>Data Entry</vt:lpstr>
      <vt:lpstr>Grant Detail</vt:lpstr>
      <vt:lpstr>Finance</vt:lpstr>
      <vt:lpstr>Management</vt:lpstr>
      <vt:lpstr>Programmatic</vt:lpstr>
      <vt:lpstr>Recommendations</vt:lpstr>
      <vt:lpstr>Actions</vt:lpstr>
      <vt:lpstr>Setup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Microsoft Office User</cp:lastModifiedBy>
  <cp:lastPrinted>2009-11-06T15:57:56Z</cp:lastPrinted>
  <dcterms:created xsi:type="dcterms:W3CDTF">2008-11-20T16:06:13Z</dcterms:created>
  <dcterms:modified xsi:type="dcterms:W3CDTF">2016-11-24T11:12:00Z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y fmtid="{D5CDD505-2E9C-101B-9397-08002B2CF9AE}" pid="23" name="Nr">
    <vt:lpwstr/>
  </property>
  <property fmtid="{D5CDD505-2E9C-101B-9397-08002B2CF9AE}" pid="24" name="PublishingExpirationDate">
    <vt:lpwstr/>
  </property>
  <property fmtid="{D5CDD505-2E9C-101B-9397-08002B2CF9AE}" pid="25" name="PublishingStartDate">
    <vt:lpwstr/>
  </property>
</Properties>
</file>